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3.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4.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5.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6.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K:\13_Projekte\2023_MWK BW_Bilanzierungsstandards Kultur\04_Tool und Leitfaden\01_Tool\Tool 2024\"/>
    </mc:Choice>
  </mc:AlternateContent>
  <xr:revisionPtr revIDLastSave="0" documentId="13_ncr:1_{61670AE8-6571-4185-A6B7-34B013F0BF18}" xr6:coauthVersionLast="47" xr6:coauthVersionMax="47" xr10:uidLastSave="{00000000-0000-0000-0000-000000000000}"/>
  <workbookProtection workbookAlgorithmName="SHA-512" workbookHashValue="D/B7zYqBZUBJoVIG4YK6mZtpWaCtCPTjTU6UVqwAu5wbxrKXd0cezTJ98DQK6vi1vDg9qHCnszxMhuUGY18NhA==" workbookSaltValue="RGLSwij+1vQK8jXU7Kr4wQ==" workbookSpinCount="100000" lockStructure="1"/>
  <bookViews>
    <workbookView xWindow="-28920" yWindow="-120" windowWidth="29040" windowHeight="15840" tabRatio="743" xr2:uid="{FC75B23F-90E0-430C-A950-2600F699F9D7}"/>
  </bookViews>
  <sheets>
    <sheet name="Anleitung" sheetId="1" r:id="rId1"/>
    <sheet name="Stammdaten" sheetId="3" r:id="rId2"/>
    <sheet name="Gliederung der Bilanz" sheetId="10" r:id="rId3"/>
    <sheet name="Daten KlimaBilanzKultur" sheetId="15" r:id="rId4"/>
    <sheet name="Daten KlimaBilanzKultur+" sheetId="16" r:id="rId5"/>
    <sheet name="Datenerfassung Beyond Carbon" sheetId="23" r:id="rId6"/>
    <sheet name="Ergebnisse" sheetId="26" r:id="rId7"/>
    <sheet name="Emissionsfaktoren" sheetId="14" r:id="rId8"/>
    <sheet name="EF_Änderungen" sheetId="28" r:id="rId9"/>
    <sheet name="Dropdowns" sheetId="12" state="hidden" r:id="rId10"/>
  </sheets>
  <definedNames>
    <definedName name="_xlnm._FilterDatabase" localSheetId="9" hidden="1">Dropdowns!$C$22:$C$75</definedName>
    <definedName name="_xlnm._FilterDatabase" localSheetId="7" hidden="1">Emissionsfaktoren!$V$38:$Y$81</definedName>
    <definedName name="Bez_Anreise_der_Besuchenden">'Daten KlimaBilanzKultur+'!$B$20</definedName>
    <definedName name="Bez_Druck_und_Werbematerialien">'Datenerfassung Beyond Carbon'!$B$47</definedName>
    <definedName name="Bez_Externe">'Daten KlimaBilanzKultur'!$B$191</definedName>
    <definedName name="Bez_Fuhrpark">'Daten KlimaBilanzKultur'!$B$110</definedName>
    <definedName name="Bez_Geschäftsreisen">'Daten KlimaBilanzKultur'!$B$137</definedName>
    <definedName name="Bez_IT">'Daten KlimaBilanzKultur+'!$B$74</definedName>
    <definedName name="Bez_Kühl_und_Kältemittel">'Daten KlimaBilanzKultur'!$B$83:$B$102</definedName>
    <definedName name="Bez_Medien">'Daten KlimaBilanzKultur+'!$B$47</definedName>
    <definedName name="Bez_Papier">'Datenerfassung Beyond Carbon'!$B$20</definedName>
    <definedName name="Bez_Pendeln">'Daten KlimaBilanzKultur'!$B$164</definedName>
    <definedName name="Bez_Relevante_Stoffströme">'Daten KlimaBilanzKultur+'!$B$101</definedName>
    <definedName name="Bez_Strom">'Daten KlimaBilanzKultur'!$B$56:$B$75</definedName>
    <definedName name="Bez_Verpackung">'Datenerfassung Beyond Carbon'!$B$74</definedName>
    <definedName name="Bez_Warentransporte">'Daten KlimaBilanzKultur'!$B$218</definedName>
    <definedName name="Bez_Wärme">'Daten KlimaBilanzKultur'!$B$29:$B$48</definedName>
    <definedName name="Bez_Wasser">'Datenerfassung Beyond Carbon'!$B$101</definedName>
    <definedName name="DD_Anreise_Besuchende" localSheetId="8">OFFSET(#REF!,0,0,COUNTA(#REF!))</definedName>
    <definedName name="DD_Anreise_Besuchende">OFFSET(Dropdowns!$K$23,0,0,COUNTA(Dropdowns!$K$23:$K$77))</definedName>
    <definedName name="DD_Bücher_CDs_DVDs" localSheetId="8">OFFSET(#REF!,0,0,COUNTA(#REF!))</definedName>
    <definedName name="DD_Bücher_CDs_DVDs">OFFSET(Dropdowns!$J$23,0,0,COUNTA(Dropdowns!$J$23:$J$77))</definedName>
    <definedName name="DD_Externe" localSheetId="8">OFFSET(#REF!,0,0,COUNTA(#REF!))</definedName>
    <definedName name="DD_Externe">OFFSET(Dropdowns!$H$23,0,0,COUNTA(Dropdowns!$H$23:$H$77))</definedName>
    <definedName name="DD_Fuhrpark" localSheetId="8">OFFSET(#REF!,0,0,COUNTA(#REF!))</definedName>
    <definedName name="DD_Fuhrpark">OFFSET(Dropdowns!$E$23,0,0,COUNTA(Dropdowns!$E$23:$E$77))</definedName>
    <definedName name="DD_Geschäftsreisen" localSheetId="8">OFFSET(#REF!,0,0,COUNTA(#REF!))</definedName>
    <definedName name="DD_Geschäftsreisen">OFFSET(Dropdowns!$F$23,0,0,COUNTA(Dropdowns!$F$23:$F$77))</definedName>
    <definedName name="DD_IT_Dienstleistungen" localSheetId="8">OFFSET(#REF!,0,0,COUNTA(#REF!))</definedName>
    <definedName name="DD_IT_Dienstleistungen">OFFSET(Dropdowns!$L$23,0,0,COUNTA(Dropdowns!$L$23:$L$77))</definedName>
    <definedName name="DD_Kühl_und_Kältemittel" localSheetId="8">OFFSET(#REF!,0,0,COUNTA(#REF!))</definedName>
    <definedName name="DD_Kühl_und_Kältemittel">OFFSET(Dropdowns!$D$23,0,0,COUNTA(Dropdowns!$D$23:$D$77))</definedName>
    <definedName name="DD_Pendeln_Mitarbeitende" localSheetId="8">OFFSET(#REF!,0,0,COUNTA(#REF!))</definedName>
    <definedName name="DD_Pendeln_Mitarbeitende">OFFSET(Dropdowns!$G$23,0,0,COUNTA(Dropdowns!$G$23:$G$77))</definedName>
    <definedName name="DD_Relevante_Stoffströme" localSheetId="8">OFFSET(#REF!,0,0,COUNTA(#REF!))</definedName>
    <definedName name="DD_Relevante_Stoffströme">OFFSET(Dropdowns!$M$23,0,0,COUNTA(Dropdowns!$M$23:$M$77))</definedName>
    <definedName name="DD_Strom" localSheetId="8">OFFSET(#REF!,0,0,COUNTA(#REF!))</definedName>
    <definedName name="DD_Strom">OFFSET(Dropdowns!$C$23,0,0,COUNTA(Dropdowns!$C$23:$C$77))</definedName>
    <definedName name="DD_Thema" localSheetId="6">Sektor_Thema[Thema_]</definedName>
    <definedName name="DD_Thema">Sektor_Thema[Thema_]</definedName>
    <definedName name="DD_Thema_2" localSheetId="8">#REF!</definedName>
    <definedName name="DD_Thema_2">Dropdowns!$N$3:$N$15</definedName>
    <definedName name="DD_Warentransporte" localSheetId="8">OFFSET(#REF!,0,0,COUNTA(#REF!))</definedName>
    <definedName name="DD_Warentransporte">OFFSET(Dropdowns!$I$23,0,0,COUNTA(Dropdowns!$I$23:$I$77))</definedName>
    <definedName name="DD_Wärme" localSheetId="8">OFFSET(#REF!,0,0,COUNTA(#REF!))</definedName>
    <definedName name="DD_Wärme">OFFSET(Dropdowns!$B$23,0,0,COUNTA(Dropdowns!$B$23:$B$48))</definedName>
    <definedName name="DD_Weitere_Emissionsquellen" localSheetId="8">OFFSET(#REF!,0,0,COUNTA(#REF!))</definedName>
    <definedName name="DD_Weitere_Emissionsquellen">OFFSET(Dropdowns!#REF!,0,0,COUNTA(Dropdowns!$N$22:$N$22))</definedName>
    <definedName name="Gliederungselemente" localSheetId="8">#REF!:INDEX(#REF!,COUNTA(#REF!))</definedName>
    <definedName name="Gliederungselemente">'Gliederung der Bilanz'!$C$10:INDEX('Gliederung der Bilanz'!$C$10:$C$31,COUNTA('Gliederung der Bilanz'!$C$10:$C$31))</definedName>
    <definedName name="Thema_" localSheetId="5">Sektor_Thema[Thema_]</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4" i="14" l="1"/>
  <c r="Q225" i="14"/>
  <c r="Q226" i="14"/>
  <c r="Q227" i="14"/>
  <c r="Q228" i="14"/>
  <c r="P224" i="14"/>
  <c r="P225" i="14"/>
  <c r="P226" i="14"/>
  <c r="P227" i="14"/>
  <c r="P228" i="14"/>
  <c r="D212" i="14"/>
  <c r="C212" i="14" s="1"/>
  <c r="D213" i="14"/>
  <c r="C213" i="14" s="1"/>
  <c r="D214" i="14"/>
  <c r="C214" i="14" s="1"/>
  <c r="D215" i="14"/>
  <c r="C215" i="14" s="1"/>
  <c r="D216" i="14"/>
  <c r="C216" i="14" s="1"/>
  <c r="D217" i="14"/>
  <c r="C217" i="14" s="1"/>
  <c r="D218" i="14"/>
  <c r="C218" i="14" s="1"/>
  <c r="D219" i="14"/>
  <c r="C219" i="14" s="1"/>
  <c r="D220" i="14"/>
  <c r="C220" i="14" s="1"/>
  <c r="D221" i="14"/>
  <c r="C221" i="14" s="1"/>
  <c r="D222" i="14"/>
  <c r="C222" i="14" s="1"/>
  <c r="D150" i="14"/>
  <c r="C150" i="14" s="1"/>
  <c r="D146" i="14"/>
  <c r="C146" i="14" s="1"/>
  <c r="I23" i="12" a="1"/>
  <c r="I23" i="12" s="1"/>
  <c r="D15" i="14"/>
  <c r="C15" i="14" s="1"/>
  <c r="D16" i="14"/>
  <c r="C16" i="14" s="1"/>
  <c r="N138" i="14"/>
  <c r="O138" i="14"/>
  <c r="P138" i="14"/>
  <c r="N139" i="14"/>
  <c r="O139" i="14"/>
  <c r="P139" i="14"/>
  <c r="N140" i="14"/>
  <c r="O140" i="14"/>
  <c r="P140" i="14"/>
  <c r="N141" i="14"/>
  <c r="O141" i="14"/>
  <c r="P141" i="14"/>
  <c r="N142" i="14"/>
  <c r="O142" i="14"/>
  <c r="P142" i="14"/>
  <c r="N123" i="14"/>
  <c r="O123" i="14"/>
  <c r="P123" i="14"/>
  <c r="N124" i="14"/>
  <c r="O124" i="14"/>
  <c r="P124" i="14"/>
  <c r="N125" i="14"/>
  <c r="O125" i="14"/>
  <c r="P125" i="14"/>
  <c r="N126" i="14"/>
  <c r="O126" i="14"/>
  <c r="P126" i="14"/>
  <c r="N127" i="14"/>
  <c r="O127" i="14"/>
  <c r="P127" i="14"/>
  <c r="D12" i="14"/>
  <c r="C12" i="14" s="1"/>
  <c r="D10" i="14"/>
  <c r="C10" i="14" s="1"/>
  <c r="D182" i="14"/>
  <c r="C182" i="14" s="1"/>
  <c r="D135" i="26"/>
  <c r="D108" i="26"/>
  <c r="D95" i="26"/>
  <c r="K39" i="26"/>
  <c r="L39" i="26"/>
  <c r="M39" i="26"/>
  <c r="N39" i="26"/>
  <c r="K35" i="26"/>
  <c r="G24" i="26"/>
  <c r="F40" i="16"/>
  <c r="K105" i="16"/>
  <c r="K106" i="16"/>
  <c r="K107" i="16"/>
  <c r="K108" i="16"/>
  <c r="K109" i="16"/>
  <c r="K110" i="16"/>
  <c r="K111" i="16"/>
  <c r="K112" i="16"/>
  <c r="K113" i="16"/>
  <c r="K114" i="16"/>
  <c r="K115" i="16"/>
  <c r="K116" i="16"/>
  <c r="K117" i="16"/>
  <c r="K118" i="16"/>
  <c r="K119" i="16"/>
  <c r="K120" i="16"/>
  <c r="K75" i="16"/>
  <c r="K76" i="16"/>
  <c r="K77" i="16"/>
  <c r="K78" i="16"/>
  <c r="K79" i="16"/>
  <c r="K80" i="16"/>
  <c r="K81" i="16"/>
  <c r="K82" i="16"/>
  <c r="K83" i="16"/>
  <c r="K84" i="16"/>
  <c r="K85" i="16"/>
  <c r="K86" i="16"/>
  <c r="K87" i="16"/>
  <c r="K88" i="16"/>
  <c r="K89" i="16"/>
  <c r="K90" i="16"/>
  <c r="K91" i="16"/>
  <c r="K92" i="16"/>
  <c r="K93" i="16"/>
  <c r="K50" i="16"/>
  <c r="K51" i="16"/>
  <c r="K52" i="16"/>
  <c r="K53" i="16"/>
  <c r="K54" i="16"/>
  <c r="K55" i="16"/>
  <c r="K56" i="16"/>
  <c r="K57" i="16"/>
  <c r="K58" i="16"/>
  <c r="K59" i="16"/>
  <c r="K60" i="16"/>
  <c r="K61" i="16"/>
  <c r="K62" i="16"/>
  <c r="K63" i="16"/>
  <c r="K64" i="16"/>
  <c r="K65" i="16"/>
  <c r="K66" i="16"/>
  <c r="K31" i="16"/>
  <c r="K32" i="16"/>
  <c r="K33" i="16"/>
  <c r="K34" i="16"/>
  <c r="K35" i="16"/>
  <c r="K36" i="16"/>
  <c r="K37" i="16"/>
  <c r="K38" i="16"/>
  <c r="K39" i="16"/>
  <c r="K220" i="15"/>
  <c r="K221" i="15"/>
  <c r="K222" i="15"/>
  <c r="K223" i="15"/>
  <c r="K224" i="15"/>
  <c r="K225" i="15"/>
  <c r="K226" i="15"/>
  <c r="K227" i="15"/>
  <c r="K228" i="15"/>
  <c r="K229" i="15"/>
  <c r="K230" i="15"/>
  <c r="K231" i="15"/>
  <c r="K232" i="15"/>
  <c r="K233" i="15"/>
  <c r="K234" i="15"/>
  <c r="K235" i="15"/>
  <c r="K236" i="15"/>
  <c r="K237" i="15"/>
  <c r="K195" i="15"/>
  <c r="K196" i="15"/>
  <c r="K197" i="15"/>
  <c r="K198" i="15"/>
  <c r="K199" i="15"/>
  <c r="K200" i="15"/>
  <c r="K201" i="15"/>
  <c r="K202" i="15"/>
  <c r="K203" i="15"/>
  <c r="K204" i="15"/>
  <c r="K205" i="15"/>
  <c r="K206" i="15"/>
  <c r="K207" i="15"/>
  <c r="K208" i="15"/>
  <c r="K209" i="15"/>
  <c r="K210" i="15"/>
  <c r="K169" i="15"/>
  <c r="K170" i="15"/>
  <c r="K171" i="15"/>
  <c r="K172" i="15"/>
  <c r="K173" i="15"/>
  <c r="K174" i="15"/>
  <c r="K175" i="15"/>
  <c r="K176" i="15"/>
  <c r="K177" i="15"/>
  <c r="K178" i="15"/>
  <c r="K179" i="15"/>
  <c r="K180" i="15"/>
  <c r="K181" i="15"/>
  <c r="K182" i="15"/>
  <c r="K183" i="15"/>
  <c r="K142" i="15"/>
  <c r="K143" i="15"/>
  <c r="K144" i="15"/>
  <c r="K145" i="15"/>
  <c r="K146" i="15"/>
  <c r="K147" i="15"/>
  <c r="K148" i="15"/>
  <c r="K149" i="15"/>
  <c r="K150" i="15"/>
  <c r="K151" i="15"/>
  <c r="K152" i="15"/>
  <c r="K153" i="15"/>
  <c r="K154" i="15"/>
  <c r="K155" i="15"/>
  <c r="K156" i="15"/>
  <c r="K113" i="15"/>
  <c r="K112" i="15"/>
  <c r="K114" i="15"/>
  <c r="K115" i="15"/>
  <c r="K116" i="15"/>
  <c r="K117" i="15"/>
  <c r="K118" i="15"/>
  <c r="K119" i="15"/>
  <c r="K120" i="15"/>
  <c r="K121" i="15"/>
  <c r="K122" i="15"/>
  <c r="K123" i="15"/>
  <c r="K124" i="15"/>
  <c r="K125" i="15"/>
  <c r="K126" i="15"/>
  <c r="K127" i="15"/>
  <c r="K128" i="15"/>
  <c r="K129" i="15"/>
  <c r="K84" i="15"/>
  <c r="K85" i="15"/>
  <c r="K86" i="15"/>
  <c r="K87" i="15"/>
  <c r="K88" i="15"/>
  <c r="K89" i="15"/>
  <c r="K90" i="15"/>
  <c r="K91" i="15"/>
  <c r="K92" i="15"/>
  <c r="K93" i="15"/>
  <c r="K94" i="15"/>
  <c r="K95" i="15"/>
  <c r="K96" i="15"/>
  <c r="K97" i="15"/>
  <c r="K98" i="15"/>
  <c r="K99" i="15"/>
  <c r="K100" i="15"/>
  <c r="K101" i="15"/>
  <c r="K102" i="15"/>
  <c r="K62" i="15"/>
  <c r="K63" i="15"/>
  <c r="K64" i="15"/>
  <c r="K65" i="15"/>
  <c r="K66" i="15"/>
  <c r="K67" i="15"/>
  <c r="K68" i="15"/>
  <c r="K69" i="15"/>
  <c r="K70" i="15"/>
  <c r="K71" i="15"/>
  <c r="K72" i="15"/>
  <c r="K73" i="15"/>
  <c r="K74" i="15"/>
  <c r="K75" i="15"/>
  <c r="L33" i="15"/>
  <c r="L34" i="15"/>
  <c r="L35" i="15"/>
  <c r="L36" i="15"/>
  <c r="L37" i="15"/>
  <c r="L38" i="15"/>
  <c r="L39" i="15"/>
  <c r="L40" i="15"/>
  <c r="L41" i="15"/>
  <c r="L42" i="15"/>
  <c r="L43" i="15"/>
  <c r="L44" i="15"/>
  <c r="L45" i="15"/>
  <c r="L46" i="15"/>
  <c r="L47" i="15"/>
  <c r="L48" i="15"/>
  <c r="B29" i="10" l="1"/>
  <c r="B11" i="10"/>
  <c r="B12" i="10"/>
  <c r="B13" i="10"/>
  <c r="B14" i="10"/>
  <c r="B15" i="10"/>
  <c r="B16" i="10"/>
  <c r="B17" i="10"/>
  <c r="B18" i="10"/>
  <c r="B19" i="10"/>
  <c r="B20" i="10"/>
  <c r="B21" i="10"/>
  <c r="B22" i="10"/>
  <c r="B23" i="10"/>
  <c r="B24" i="10"/>
  <c r="B25" i="10"/>
  <c r="B26" i="10"/>
  <c r="B27" i="10"/>
  <c r="B28" i="10"/>
  <c r="G105" i="26" l="1"/>
  <c r="G104" i="26"/>
  <c r="G106" i="26"/>
  <c r="L66" i="16" l="1"/>
  <c r="C66" i="16"/>
  <c r="L65" i="16"/>
  <c r="C65" i="16"/>
  <c r="L64" i="16"/>
  <c r="C64" i="16"/>
  <c r="L63" i="16"/>
  <c r="C63" i="16"/>
  <c r="L62" i="16"/>
  <c r="C62" i="16"/>
  <c r="L61" i="16"/>
  <c r="C61" i="16"/>
  <c r="L60" i="16"/>
  <c r="C60" i="16"/>
  <c r="L59" i="16"/>
  <c r="C59" i="16"/>
  <c r="L58" i="16"/>
  <c r="C58" i="16"/>
  <c r="L57" i="16"/>
  <c r="C57" i="16"/>
  <c r="L56" i="16"/>
  <c r="C56" i="16"/>
  <c r="L55" i="16"/>
  <c r="C55" i="16"/>
  <c r="L54" i="16"/>
  <c r="C54" i="16"/>
  <c r="L53" i="16"/>
  <c r="C53" i="16"/>
  <c r="L52" i="16"/>
  <c r="C52" i="16"/>
  <c r="L51" i="16"/>
  <c r="C51" i="16"/>
  <c r="L50" i="16"/>
  <c r="C50" i="16"/>
  <c r="C49" i="16"/>
  <c r="L49" i="16" s="1"/>
  <c r="C48" i="16"/>
  <c r="L48" i="16" s="1"/>
  <c r="C47" i="16"/>
  <c r="L47" i="16" s="1"/>
  <c r="D208" i="14" l="1"/>
  <c r="C208" i="14" s="1"/>
  <c r="D209" i="14"/>
  <c r="C209" i="14" s="1"/>
  <c r="D210" i="14"/>
  <c r="C210" i="14" s="1"/>
  <c r="D211" i="14"/>
  <c r="C211" i="14" s="1"/>
  <c r="D223" i="14"/>
  <c r="C223" i="14" s="1"/>
  <c r="E23" i="12" l="1" a="1"/>
  <c r="E23" i="12" s="1"/>
  <c r="D23" i="12" a="1"/>
  <c r="D23" i="12" s="1"/>
  <c r="C47" i="15"/>
  <c r="M47" i="15"/>
  <c r="D28" i="14"/>
  <c r="D29" i="14"/>
  <c r="D30" i="14"/>
  <c r="D31" i="14"/>
  <c r="D32" i="14"/>
  <c r="D33" i="14"/>
  <c r="D34" i="14"/>
  <c r="D35" i="14"/>
  <c r="D89" i="14"/>
  <c r="D90" i="14"/>
  <c r="D204" i="14"/>
  <c r="C204" i="14" s="1"/>
  <c r="D205" i="14"/>
  <c r="C205" i="14" s="1"/>
  <c r="D206" i="14"/>
  <c r="C206" i="14" s="1"/>
  <c r="D207" i="14"/>
  <c r="C207" i="14" s="1"/>
  <c r="D224" i="14"/>
  <c r="C224" i="14" s="1"/>
  <c r="D225" i="14"/>
  <c r="C225" i="14" s="1"/>
  <c r="D226" i="14"/>
  <c r="C226" i="14" s="1"/>
  <c r="D227" i="14"/>
  <c r="C227" i="14" s="1"/>
  <c r="D228" i="14"/>
  <c r="C228" i="14" s="1"/>
  <c r="D194" i="14"/>
  <c r="D195" i="14"/>
  <c r="D196" i="14"/>
  <c r="D197" i="14"/>
  <c r="D198" i="14"/>
  <c r="D199" i="14"/>
  <c r="D200" i="14"/>
  <c r="D179" i="14"/>
  <c r="D180" i="14"/>
  <c r="D181" i="14"/>
  <c r="D183" i="14"/>
  <c r="D184" i="14"/>
  <c r="D185" i="14"/>
  <c r="D186" i="14"/>
  <c r="D187" i="14"/>
  <c r="D188" i="14"/>
  <c r="D189" i="14"/>
  <c r="D190" i="14"/>
  <c r="D191" i="14"/>
  <c r="D166" i="14"/>
  <c r="D167" i="14"/>
  <c r="D168" i="14"/>
  <c r="D169" i="14"/>
  <c r="D170" i="14"/>
  <c r="D171" i="14"/>
  <c r="D172" i="14"/>
  <c r="D173" i="14"/>
  <c r="D174" i="14"/>
  <c r="D175" i="14"/>
  <c r="D176" i="14"/>
  <c r="D145" i="14"/>
  <c r="D147" i="14"/>
  <c r="D148" i="14"/>
  <c r="D149" i="14"/>
  <c r="D151" i="14"/>
  <c r="D152" i="14"/>
  <c r="D153" i="14"/>
  <c r="D154" i="14"/>
  <c r="D155" i="14"/>
  <c r="D156" i="14"/>
  <c r="D157" i="14"/>
  <c r="D158" i="14"/>
  <c r="D159" i="14"/>
  <c r="D160" i="14"/>
  <c r="D161" i="14"/>
  <c r="D162" i="14"/>
  <c r="D163" i="14"/>
  <c r="D130" i="14"/>
  <c r="D131" i="14"/>
  <c r="D132" i="14"/>
  <c r="D133" i="14"/>
  <c r="D134" i="14"/>
  <c r="D135" i="14"/>
  <c r="D136" i="14"/>
  <c r="D137" i="14"/>
  <c r="D138" i="14"/>
  <c r="D139" i="14"/>
  <c r="D140" i="14"/>
  <c r="D141" i="14"/>
  <c r="D142" i="14"/>
  <c r="D118" i="14"/>
  <c r="D119" i="14"/>
  <c r="D120" i="14"/>
  <c r="D121" i="14"/>
  <c r="D122" i="14"/>
  <c r="D123" i="14"/>
  <c r="D124" i="14"/>
  <c r="D125" i="14"/>
  <c r="D126" i="14"/>
  <c r="D127" i="14"/>
  <c r="D101" i="14"/>
  <c r="D102" i="14"/>
  <c r="D103" i="14"/>
  <c r="D104" i="14"/>
  <c r="D105" i="14"/>
  <c r="D106" i="14"/>
  <c r="D107" i="14"/>
  <c r="D108" i="14"/>
  <c r="D109" i="14"/>
  <c r="D110" i="14"/>
  <c r="D111" i="14"/>
  <c r="D112" i="14"/>
  <c r="D113" i="14"/>
  <c r="D114" i="14"/>
  <c r="D115"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91" i="14"/>
  <c r="D92" i="14"/>
  <c r="D93" i="14"/>
  <c r="D94" i="14"/>
  <c r="D95" i="14"/>
  <c r="D96" i="14"/>
  <c r="D97" i="14"/>
  <c r="D98" i="14"/>
  <c r="P111" i="14"/>
  <c r="P112" i="14"/>
  <c r="P113" i="14"/>
  <c r="P114" i="14"/>
  <c r="P115" i="14"/>
  <c r="P159" i="14"/>
  <c r="P160" i="14"/>
  <c r="P161" i="14"/>
  <c r="P162" i="14"/>
  <c r="P163" i="14"/>
  <c r="P172" i="14"/>
  <c r="P173" i="14"/>
  <c r="P174" i="14"/>
  <c r="P175" i="14"/>
  <c r="P176" i="14"/>
  <c r="P187" i="14"/>
  <c r="P188" i="14"/>
  <c r="P189" i="14"/>
  <c r="P190" i="14"/>
  <c r="P191" i="14"/>
  <c r="P196" i="14"/>
  <c r="P197" i="14"/>
  <c r="P198" i="14"/>
  <c r="P199" i="14"/>
  <c r="P200" i="14"/>
  <c r="O196" i="14"/>
  <c r="O197" i="14"/>
  <c r="O198" i="14"/>
  <c r="O199" i="14"/>
  <c r="O200" i="14"/>
  <c r="N196" i="14"/>
  <c r="N197" i="14"/>
  <c r="N198" i="14"/>
  <c r="N199" i="14"/>
  <c r="N200" i="14"/>
  <c r="O187" i="14"/>
  <c r="O188" i="14"/>
  <c r="O189" i="14"/>
  <c r="O190" i="14"/>
  <c r="O191" i="14"/>
  <c r="N187" i="14"/>
  <c r="N188" i="14"/>
  <c r="N189" i="14"/>
  <c r="N190" i="14"/>
  <c r="N191" i="14"/>
  <c r="O172" i="14"/>
  <c r="O173" i="14"/>
  <c r="O174" i="14"/>
  <c r="O175" i="14"/>
  <c r="O176" i="14"/>
  <c r="N172" i="14"/>
  <c r="N173" i="14"/>
  <c r="N174" i="14"/>
  <c r="N175" i="14"/>
  <c r="N176" i="14"/>
  <c r="O159" i="14"/>
  <c r="O160" i="14"/>
  <c r="O161" i="14"/>
  <c r="O162" i="14"/>
  <c r="O163" i="14"/>
  <c r="N159" i="14"/>
  <c r="N160" i="14"/>
  <c r="N161" i="14"/>
  <c r="N162" i="14"/>
  <c r="N163" i="14"/>
  <c r="O111" i="14"/>
  <c r="O112" i="14"/>
  <c r="O113" i="14"/>
  <c r="O114" i="14"/>
  <c r="O115" i="14"/>
  <c r="N111" i="14"/>
  <c r="N112" i="14"/>
  <c r="N113" i="14"/>
  <c r="N114" i="14"/>
  <c r="N115" i="14"/>
  <c r="P82" i="14"/>
  <c r="P83" i="14"/>
  <c r="P84" i="14"/>
  <c r="P85" i="14"/>
  <c r="P86" i="14"/>
  <c r="O82" i="14"/>
  <c r="O83" i="14"/>
  <c r="O84" i="14"/>
  <c r="O85" i="14"/>
  <c r="O86" i="14"/>
  <c r="N82" i="14"/>
  <c r="N83" i="14"/>
  <c r="N84" i="14"/>
  <c r="N85" i="14"/>
  <c r="N86" i="14"/>
  <c r="D9" i="14"/>
  <c r="D11" i="14"/>
  <c r="D13" i="14"/>
  <c r="D14" i="14"/>
  <c r="D17" i="14"/>
  <c r="D18" i="14"/>
  <c r="D19" i="14"/>
  <c r="D20" i="14"/>
  <c r="D21" i="14"/>
  <c r="D22" i="14"/>
  <c r="D23" i="14"/>
  <c r="D24" i="14"/>
  <c r="D25" i="14"/>
  <c r="C130" i="14" l="1"/>
  <c r="C131" i="14"/>
  <c r="C132" i="14"/>
  <c r="C133" i="14"/>
  <c r="C134" i="14"/>
  <c r="C135" i="14"/>
  <c r="C136" i="14"/>
  <c r="C137" i="14"/>
  <c r="C138" i="14"/>
  <c r="C139" i="14"/>
  <c r="C140" i="14"/>
  <c r="C141" i="14"/>
  <c r="C142" i="14"/>
  <c r="C118" i="14"/>
  <c r="C119" i="14"/>
  <c r="C120" i="14"/>
  <c r="C121" i="14"/>
  <c r="C122" i="14"/>
  <c r="C123" i="14"/>
  <c r="C124" i="14"/>
  <c r="C125" i="14"/>
  <c r="C126" i="14"/>
  <c r="C127" i="14"/>
  <c r="C194" i="14"/>
  <c r="C195" i="14"/>
  <c r="C196" i="14"/>
  <c r="C197" i="14"/>
  <c r="C198" i="14"/>
  <c r="C199" i="14"/>
  <c r="C200" i="14"/>
  <c r="C179" i="14"/>
  <c r="C180" i="14"/>
  <c r="C181" i="14"/>
  <c r="C183" i="14"/>
  <c r="C184" i="14"/>
  <c r="C185" i="14"/>
  <c r="C186" i="14"/>
  <c r="C187" i="14"/>
  <c r="C188" i="14"/>
  <c r="C189" i="14"/>
  <c r="C190" i="14"/>
  <c r="C191" i="14"/>
  <c r="C166" i="14"/>
  <c r="C167" i="14"/>
  <c r="C168" i="14"/>
  <c r="C169" i="14"/>
  <c r="C170" i="14"/>
  <c r="C171" i="14"/>
  <c r="C172" i="14"/>
  <c r="C173" i="14"/>
  <c r="C174" i="14"/>
  <c r="C175" i="14"/>
  <c r="C176" i="14"/>
  <c r="C145" i="14"/>
  <c r="C147" i="14"/>
  <c r="C148" i="14"/>
  <c r="C149" i="14"/>
  <c r="C151" i="14"/>
  <c r="C152" i="14"/>
  <c r="C153" i="14"/>
  <c r="C154" i="14"/>
  <c r="C155" i="14"/>
  <c r="C156" i="14"/>
  <c r="C157" i="14"/>
  <c r="C158" i="14"/>
  <c r="C159" i="14"/>
  <c r="C160" i="14"/>
  <c r="C161" i="14"/>
  <c r="C162" i="14"/>
  <c r="C163" i="14"/>
  <c r="C101" i="14"/>
  <c r="C102" i="14"/>
  <c r="C103" i="14"/>
  <c r="C104" i="14"/>
  <c r="C105" i="14"/>
  <c r="C106" i="14"/>
  <c r="C107" i="14"/>
  <c r="C108" i="14"/>
  <c r="C109" i="14"/>
  <c r="C110" i="14"/>
  <c r="C111" i="14"/>
  <c r="C112" i="14"/>
  <c r="C113" i="14"/>
  <c r="C114" i="14"/>
  <c r="C115"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C86" i="14"/>
  <c r="C89" i="14"/>
  <c r="C90" i="14"/>
  <c r="C91" i="14"/>
  <c r="C92" i="14"/>
  <c r="C93" i="14"/>
  <c r="C94" i="14"/>
  <c r="C95" i="14"/>
  <c r="C96" i="14"/>
  <c r="C97" i="14"/>
  <c r="C98" i="14"/>
  <c r="C28" i="14"/>
  <c r="C29" i="14"/>
  <c r="C30" i="14"/>
  <c r="C31" i="14"/>
  <c r="C32" i="14"/>
  <c r="C33" i="14"/>
  <c r="C34" i="14"/>
  <c r="C35" i="14"/>
  <c r="C11" i="14"/>
  <c r="C13" i="14"/>
  <c r="C14" i="14"/>
  <c r="C17" i="14"/>
  <c r="C18" i="14"/>
  <c r="C19" i="14"/>
  <c r="C20" i="14"/>
  <c r="C21" i="14"/>
  <c r="C22" i="14"/>
  <c r="C23" i="14"/>
  <c r="C24" i="14"/>
  <c r="C25" i="14"/>
  <c r="M23" i="12" a="1"/>
  <c r="M23" i="12" s="1"/>
  <c r="K23" i="12" a="1"/>
  <c r="K23" i="12" s="1"/>
  <c r="J23" i="12" a="1"/>
  <c r="J23" i="12" s="1"/>
  <c r="L23" i="12" a="1"/>
  <c r="L23" i="12" s="1"/>
  <c r="H23" i="12" a="1"/>
  <c r="H23" i="12" s="1"/>
  <c r="G23" i="12" a="1"/>
  <c r="G23" i="12" s="1"/>
  <c r="F23" i="12" a="1"/>
  <c r="F23" i="12" s="1"/>
  <c r="C23" i="12" a="1"/>
  <c r="C23" i="12" s="1"/>
  <c r="B23" i="12" a="1"/>
  <c r="B23" i="12" s="1"/>
  <c r="M61" i="16" l="1"/>
  <c r="O55" i="16"/>
  <c r="N61" i="16"/>
  <c r="N49" i="16"/>
  <c r="O54" i="16"/>
  <c r="N48" i="16"/>
  <c r="O57" i="16"/>
  <c r="O50" i="16"/>
  <c r="O60" i="16"/>
  <c r="O62" i="16"/>
  <c r="N60" i="16"/>
  <c r="M65" i="16"/>
  <c r="M57" i="16"/>
  <c r="N52" i="16"/>
  <c r="O59" i="16"/>
  <c r="O47" i="16"/>
  <c r="N64" i="16"/>
  <c r="M58" i="16"/>
  <c r="M55" i="16"/>
  <c r="N58" i="16"/>
  <c r="M62" i="16"/>
  <c r="O53" i="16"/>
  <c r="O49" i="16"/>
  <c r="O64" i="16"/>
  <c r="O51" i="16"/>
  <c r="O61" i="16"/>
  <c r="O66" i="16"/>
  <c r="O48" i="16"/>
  <c r="M56" i="16"/>
  <c r="O63" i="16"/>
  <c r="M53" i="16"/>
  <c r="N53" i="16"/>
  <c r="M66" i="16"/>
  <c r="M59" i="16"/>
  <c r="N62" i="16"/>
  <c r="N66" i="16"/>
  <c r="O58" i="16"/>
  <c r="N51" i="16"/>
  <c r="N47" i="16"/>
  <c r="N55" i="16"/>
  <c r="N63" i="16"/>
  <c r="M60" i="16"/>
  <c r="M48" i="16"/>
  <c r="O65" i="16"/>
  <c r="N59" i="16"/>
  <c r="M64" i="16"/>
  <c r="M51" i="16"/>
  <c r="O52" i="16"/>
  <c r="M52" i="16"/>
  <c r="M47" i="16"/>
  <c r="M50" i="16"/>
  <c r="M49" i="16"/>
  <c r="N56" i="16"/>
  <c r="N54" i="16"/>
  <c r="M54" i="16"/>
  <c r="O56" i="16"/>
  <c r="N65" i="16"/>
  <c r="N57" i="16"/>
  <c r="N50" i="16"/>
  <c r="M63" i="16"/>
  <c r="Q50" i="16" l="1"/>
  <c r="P54" i="16"/>
  <c r="P51" i="16"/>
  <c r="P48" i="16"/>
  <c r="Q62" i="16"/>
  <c r="P53" i="16"/>
  <c r="R66" i="16"/>
  <c r="P55" i="16"/>
  <c r="R59" i="16"/>
  <c r="Q60" i="16"/>
  <c r="R57" i="16"/>
  <c r="Q54" i="16"/>
  <c r="P47" i="16"/>
  <c r="P60" i="16"/>
  <c r="Q51" i="16"/>
  <c r="P59" i="16"/>
  <c r="R61" i="16"/>
  <c r="R53" i="16"/>
  <c r="Q52" i="16"/>
  <c r="Q48" i="16"/>
  <c r="P63" i="16"/>
  <c r="R56" i="16"/>
  <c r="P49" i="16"/>
  <c r="R52" i="16"/>
  <c r="R65" i="16"/>
  <c r="Q55" i="16"/>
  <c r="Q66" i="16"/>
  <c r="Q53" i="16"/>
  <c r="R48" i="16"/>
  <c r="R64" i="16"/>
  <c r="Q58" i="16"/>
  <c r="R47" i="16"/>
  <c r="P65" i="16"/>
  <c r="R50" i="16"/>
  <c r="Q49" i="16"/>
  <c r="Q61" i="16"/>
  <c r="R55" i="16"/>
  <c r="P50" i="16"/>
  <c r="Q47" i="16"/>
  <c r="R49" i="16"/>
  <c r="Q57" i="16"/>
  <c r="P64" i="16"/>
  <c r="R63" i="16"/>
  <c r="P58" i="16"/>
  <c r="R62" i="16"/>
  <c r="Q65" i="16"/>
  <c r="Q56" i="16"/>
  <c r="P52" i="16"/>
  <c r="Q59" i="16"/>
  <c r="Q63" i="16"/>
  <c r="R58" i="16"/>
  <c r="P66" i="16"/>
  <c r="P56" i="16"/>
  <c r="R51" i="16"/>
  <c r="P62" i="16"/>
  <c r="Q64" i="16"/>
  <c r="P57" i="16"/>
  <c r="R60" i="16"/>
  <c r="R54" i="16"/>
  <c r="P61" i="16"/>
  <c r="N123" i="26"/>
  <c r="M123" i="26"/>
  <c r="L123" i="26"/>
  <c r="K123" i="26"/>
  <c r="N122" i="26"/>
  <c r="M122" i="26"/>
  <c r="L122" i="26"/>
  <c r="K122" i="26"/>
  <c r="N120" i="26"/>
  <c r="M120" i="26"/>
  <c r="L120" i="26"/>
  <c r="K120" i="26"/>
  <c r="N118" i="26"/>
  <c r="M118" i="26"/>
  <c r="L118" i="26"/>
  <c r="K118" i="26"/>
  <c r="N117" i="26"/>
  <c r="M117" i="26"/>
  <c r="L117" i="26"/>
  <c r="K117" i="26"/>
  <c r="N116" i="26"/>
  <c r="M116" i="26"/>
  <c r="L116" i="26"/>
  <c r="K116" i="26"/>
  <c r="N115" i="26"/>
  <c r="M115" i="26"/>
  <c r="L115" i="26"/>
  <c r="K115" i="26"/>
  <c r="N114" i="26"/>
  <c r="M114" i="26"/>
  <c r="L114" i="26"/>
  <c r="K114" i="26"/>
  <c r="N113" i="26"/>
  <c r="M113" i="26"/>
  <c r="L113" i="26"/>
  <c r="K113" i="26"/>
  <c r="N112" i="26"/>
  <c r="M112" i="26"/>
  <c r="L112" i="26"/>
  <c r="K112" i="26"/>
  <c r="N111" i="26"/>
  <c r="M111" i="26"/>
  <c r="L111" i="26"/>
  <c r="K111" i="26"/>
  <c r="K41" i="26"/>
  <c r="L41" i="26"/>
  <c r="M41" i="26"/>
  <c r="N41" i="26"/>
  <c r="N40" i="26"/>
  <c r="M40" i="26"/>
  <c r="L40" i="26"/>
  <c r="K40" i="26"/>
  <c r="N38" i="26"/>
  <c r="M38" i="26"/>
  <c r="L38" i="26"/>
  <c r="K38" i="26"/>
  <c r="N36" i="26"/>
  <c r="M36" i="26"/>
  <c r="L36" i="26"/>
  <c r="K36" i="26"/>
  <c r="N35" i="26"/>
  <c r="M35" i="26"/>
  <c r="L35" i="26"/>
  <c r="N34" i="26"/>
  <c r="M34" i="26"/>
  <c r="L34" i="26"/>
  <c r="K34" i="26"/>
  <c r="N33" i="26"/>
  <c r="M33" i="26"/>
  <c r="L33" i="26"/>
  <c r="K33" i="26"/>
  <c r="N32" i="26"/>
  <c r="M32" i="26"/>
  <c r="L32" i="26"/>
  <c r="K32" i="26"/>
  <c r="N31" i="26"/>
  <c r="M31" i="26"/>
  <c r="L31" i="26"/>
  <c r="K31" i="26"/>
  <c r="N30" i="26"/>
  <c r="M30" i="26"/>
  <c r="L30" i="26"/>
  <c r="K30" i="26"/>
  <c r="N29" i="26"/>
  <c r="M29" i="26"/>
  <c r="L29" i="26"/>
  <c r="K29" i="26"/>
  <c r="L105" i="16"/>
  <c r="L106" i="16"/>
  <c r="L107" i="16"/>
  <c r="L108" i="16"/>
  <c r="L109" i="16"/>
  <c r="L110" i="16"/>
  <c r="L111" i="16"/>
  <c r="L112" i="16"/>
  <c r="L113" i="16"/>
  <c r="L114" i="16"/>
  <c r="L115" i="16"/>
  <c r="L116" i="16"/>
  <c r="L117" i="16"/>
  <c r="L118" i="16"/>
  <c r="L119" i="16"/>
  <c r="L120" i="16"/>
  <c r="F106" i="26"/>
  <c r="F105" i="26"/>
  <c r="F104" i="26"/>
  <c r="F103" i="26"/>
  <c r="G103" i="26"/>
  <c r="G21" i="26"/>
  <c r="N121" i="26"/>
  <c r="H72" i="26"/>
  <c r="H71" i="26"/>
  <c r="H70" i="26"/>
  <c r="H69" i="26"/>
  <c r="H68" i="26"/>
  <c r="H67" i="26"/>
  <c r="H66" i="26"/>
  <c r="H63" i="26"/>
  <c r="H62" i="26"/>
  <c r="H59" i="26"/>
  <c r="H58" i="26"/>
  <c r="H57" i="26"/>
  <c r="D11" i="26"/>
  <c r="B3" i="26"/>
  <c r="E62" i="26" l="1"/>
  <c r="E57" i="26"/>
  <c r="F121" i="26"/>
  <c r="E68" i="26"/>
  <c r="D154" i="26"/>
  <c r="D151" i="26"/>
  <c r="D72" i="26"/>
  <c r="D69" i="26"/>
  <c r="K49" i="16"/>
  <c r="K48" i="16"/>
  <c r="K47" i="16"/>
  <c r="E121" i="26"/>
  <c r="D121" i="26"/>
  <c r="D26" i="26"/>
  <c r="D13" i="26"/>
  <c r="D53" i="26"/>
  <c r="E67" i="26"/>
  <c r="P67" i="16"/>
  <c r="D39" i="26" s="1"/>
  <c r="Q67" i="16"/>
  <c r="E39" i="26" s="1"/>
  <c r="R67" i="16"/>
  <c r="F39" i="26" s="1"/>
  <c r="P111" i="16"/>
  <c r="P117" i="16"/>
  <c r="P109" i="16"/>
  <c r="P115" i="16"/>
  <c r="P107" i="16"/>
  <c r="G113" i="16"/>
  <c r="G105" i="16"/>
  <c r="M113" i="16"/>
  <c r="M105" i="16"/>
  <c r="N117" i="16"/>
  <c r="N109" i="16"/>
  <c r="O113" i="16"/>
  <c r="O105" i="16"/>
  <c r="K121" i="26"/>
  <c r="E139" i="26" s="1"/>
  <c r="G120" i="16"/>
  <c r="G112" i="16"/>
  <c r="M120" i="16"/>
  <c r="M112" i="16"/>
  <c r="N116" i="16"/>
  <c r="N108" i="16"/>
  <c r="O120" i="16"/>
  <c r="O112" i="16"/>
  <c r="P116" i="16"/>
  <c r="P108" i="16"/>
  <c r="L121" i="26"/>
  <c r="E144" i="26" s="1"/>
  <c r="G119" i="16"/>
  <c r="G111" i="16"/>
  <c r="M119" i="16"/>
  <c r="M111" i="16"/>
  <c r="N115" i="16"/>
  <c r="N107" i="16"/>
  <c r="O119" i="16"/>
  <c r="O111" i="16"/>
  <c r="M121" i="26"/>
  <c r="E153" i="26" s="1"/>
  <c r="G118" i="16"/>
  <c r="G110" i="16"/>
  <c r="M118" i="16"/>
  <c r="M110" i="16"/>
  <c r="N114" i="16"/>
  <c r="N106" i="16"/>
  <c r="O118" i="16"/>
  <c r="O110" i="16"/>
  <c r="P114" i="16"/>
  <c r="P106" i="16"/>
  <c r="G117" i="16"/>
  <c r="G109" i="16"/>
  <c r="M117" i="16"/>
  <c r="M109" i="16"/>
  <c r="N113" i="16"/>
  <c r="N105" i="16"/>
  <c r="O117" i="16"/>
  <c r="O109" i="16"/>
  <c r="P113" i="16"/>
  <c r="P105" i="16"/>
  <c r="G116" i="16"/>
  <c r="G108" i="16"/>
  <c r="M116" i="16"/>
  <c r="M108" i="16"/>
  <c r="N120" i="16"/>
  <c r="N112" i="16"/>
  <c r="O116" i="16"/>
  <c r="O108" i="16"/>
  <c r="P120" i="16"/>
  <c r="P112" i="16"/>
  <c r="G115" i="16"/>
  <c r="G107" i="16"/>
  <c r="M115" i="16"/>
  <c r="M107" i="16"/>
  <c r="N119" i="16"/>
  <c r="N111" i="16"/>
  <c r="O115" i="16"/>
  <c r="O107" i="16"/>
  <c r="P119" i="16"/>
  <c r="G114" i="16"/>
  <c r="G106" i="16"/>
  <c r="M114" i="16"/>
  <c r="M106" i="16"/>
  <c r="N118" i="16"/>
  <c r="N110" i="16"/>
  <c r="O114" i="16"/>
  <c r="O106" i="16"/>
  <c r="P118" i="16"/>
  <c r="P110" i="16"/>
  <c r="E58" i="26"/>
  <c r="E59" i="26"/>
  <c r="E71" i="26"/>
  <c r="E70" i="26"/>
  <c r="E63" i="26"/>
  <c r="E150" i="26" l="1"/>
  <c r="K67" i="16"/>
  <c r="F11" i="16" s="1"/>
  <c r="E149" i="26"/>
  <c r="E141" i="26"/>
  <c r="E152" i="26"/>
  <c r="E145" i="26"/>
  <c r="E146" i="26" s="1"/>
  <c r="E140" i="26"/>
  <c r="G121" i="26"/>
  <c r="G39" i="26"/>
  <c r="E60" i="26"/>
  <c r="E64" i="26"/>
  <c r="E142" i="26" l="1"/>
  <c r="L75" i="16"/>
  <c r="L76" i="16"/>
  <c r="L77" i="16"/>
  <c r="L78" i="16"/>
  <c r="L79" i="16"/>
  <c r="L80" i="16"/>
  <c r="L81" i="16"/>
  <c r="L82" i="16"/>
  <c r="L83" i="16"/>
  <c r="L84" i="16"/>
  <c r="L85" i="16"/>
  <c r="L86" i="16"/>
  <c r="L87" i="16"/>
  <c r="L88" i="16"/>
  <c r="L89" i="16"/>
  <c r="L90" i="16"/>
  <c r="L91" i="16"/>
  <c r="L92" i="16"/>
  <c r="L93" i="16"/>
  <c r="L30" i="16"/>
  <c r="L31" i="16"/>
  <c r="L32" i="16"/>
  <c r="L33" i="16"/>
  <c r="L34" i="16"/>
  <c r="L35" i="16"/>
  <c r="L36" i="16"/>
  <c r="L37" i="16"/>
  <c r="L38" i="16"/>
  <c r="L39" i="16"/>
  <c r="O30" i="16" l="1"/>
  <c r="N30" i="16"/>
  <c r="Q30" i="16" s="1"/>
  <c r="M30" i="16"/>
  <c r="P30" i="16" s="1"/>
  <c r="O86" i="16"/>
  <c r="N86" i="16"/>
  <c r="M86" i="16"/>
  <c r="O78" i="16"/>
  <c r="N78" i="16"/>
  <c r="M78" i="16"/>
  <c r="O89" i="16"/>
  <c r="N89" i="16"/>
  <c r="M89" i="16"/>
  <c r="O92" i="16"/>
  <c r="N92" i="16"/>
  <c r="M92" i="16"/>
  <c r="O88" i="16"/>
  <c r="N88" i="16"/>
  <c r="M88" i="16"/>
  <c r="O84" i="16"/>
  <c r="N84" i="16"/>
  <c r="M84" i="16"/>
  <c r="O80" i="16"/>
  <c r="N80" i="16"/>
  <c r="M80" i="16"/>
  <c r="O76" i="16"/>
  <c r="N76" i="16"/>
  <c r="M76" i="16"/>
  <c r="O38" i="16"/>
  <c r="N38" i="16"/>
  <c r="Q38" i="16" s="1"/>
  <c r="M38" i="16"/>
  <c r="P38" i="16" s="1"/>
  <c r="O90" i="16"/>
  <c r="N90" i="16"/>
  <c r="M90" i="16"/>
  <c r="O82" i="16"/>
  <c r="N82" i="16"/>
  <c r="M82" i="16"/>
  <c r="O37" i="16"/>
  <c r="N37" i="16"/>
  <c r="Q37" i="16" s="1"/>
  <c r="M37" i="16"/>
  <c r="P37" i="16" s="1"/>
  <c r="O33" i="16"/>
  <c r="N33" i="16"/>
  <c r="Q33" i="16" s="1"/>
  <c r="M33" i="16"/>
  <c r="P33" i="16" s="1"/>
  <c r="O93" i="16"/>
  <c r="N93" i="16"/>
  <c r="M93" i="16"/>
  <c r="O85" i="16"/>
  <c r="N85" i="16"/>
  <c r="M85" i="16"/>
  <c r="O81" i="16"/>
  <c r="N81" i="16"/>
  <c r="M81" i="16"/>
  <c r="O77" i="16"/>
  <c r="N77" i="16"/>
  <c r="M77" i="16"/>
  <c r="O36" i="16"/>
  <c r="N36" i="16"/>
  <c r="Q36" i="16" s="1"/>
  <c r="M36" i="16"/>
  <c r="P36" i="16" s="1"/>
  <c r="O32" i="16"/>
  <c r="N32" i="16"/>
  <c r="Q32" i="16" s="1"/>
  <c r="M32" i="16"/>
  <c r="P32" i="16" s="1"/>
  <c r="O39" i="16"/>
  <c r="N39" i="16"/>
  <c r="Q39" i="16" s="1"/>
  <c r="M39" i="16"/>
  <c r="P39" i="16" s="1"/>
  <c r="O35" i="16"/>
  <c r="N35" i="16"/>
  <c r="Q35" i="16" s="1"/>
  <c r="M35" i="16"/>
  <c r="P35" i="16" s="1"/>
  <c r="O31" i="16"/>
  <c r="N31" i="16"/>
  <c r="Q31" i="16" s="1"/>
  <c r="M31" i="16"/>
  <c r="P31" i="16" s="1"/>
  <c r="O91" i="16"/>
  <c r="N91" i="16"/>
  <c r="M91" i="16"/>
  <c r="O87" i="16"/>
  <c r="N87" i="16"/>
  <c r="M87" i="16"/>
  <c r="O83" i="16"/>
  <c r="N83" i="16"/>
  <c r="M83" i="16"/>
  <c r="O79" i="16"/>
  <c r="N79" i="16"/>
  <c r="M79" i="16"/>
  <c r="O75" i="16"/>
  <c r="N75" i="16"/>
  <c r="M75" i="16"/>
  <c r="O34" i="16"/>
  <c r="N34" i="16"/>
  <c r="Q34" i="16" s="1"/>
  <c r="M34" i="16"/>
  <c r="P34" i="16" s="1"/>
  <c r="G12" i="12" l="1"/>
  <c r="G13" i="12"/>
  <c r="M220" i="15"/>
  <c r="M221" i="15"/>
  <c r="M222" i="15"/>
  <c r="M223" i="15"/>
  <c r="M224" i="15"/>
  <c r="M225" i="15"/>
  <c r="M226" i="15"/>
  <c r="M227" i="15"/>
  <c r="M228" i="15"/>
  <c r="M229" i="15"/>
  <c r="M230" i="15"/>
  <c r="M231" i="15"/>
  <c r="M232" i="15"/>
  <c r="M233" i="15"/>
  <c r="M234" i="15"/>
  <c r="M235" i="15"/>
  <c r="M236" i="15"/>
  <c r="M237" i="15"/>
  <c r="M195" i="15"/>
  <c r="M196" i="15"/>
  <c r="M197" i="15"/>
  <c r="M198" i="15"/>
  <c r="M199" i="15"/>
  <c r="M200" i="15"/>
  <c r="M201" i="15"/>
  <c r="M202" i="15"/>
  <c r="M203" i="15"/>
  <c r="M204" i="15"/>
  <c r="M205" i="15"/>
  <c r="M206" i="15"/>
  <c r="M207" i="15"/>
  <c r="M208" i="15"/>
  <c r="M209" i="15"/>
  <c r="M210" i="15"/>
  <c r="M178" i="15"/>
  <c r="M179" i="15"/>
  <c r="M180" i="15"/>
  <c r="M181" i="15"/>
  <c r="M182" i="15"/>
  <c r="M183" i="15"/>
  <c r="M143" i="15"/>
  <c r="M144" i="15"/>
  <c r="M145" i="15"/>
  <c r="M146" i="15"/>
  <c r="M147" i="15"/>
  <c r="M148" i="15"/>
  <c r="M149" i="15"/>
  <c r="M150" i="15"/>
  <c r="M151" i="15"/>
  <c r="M152" i="15"/>
  <c r="M153" i="15"/>
  <c r="M154" i="15"/>
  <c r="M155" i="15"/>
  <c r="M156" i="15"/>
  <c r="M115" i="15"/>
  <c r="M116" i="15"/>
  <c r="M117" i="15"/>
  <c r="M118" i="15"/>
  <c r="M119" i="15"/>
  <c r="M120" i="15"/>
  <c r="M121" i="15"/>
  <c r="M122" i="15"/>
  <c r="M123" i="15"/>
  <c r="M124" i="15"/>
  <c r="M125" i="15"/>
  <c r="M126" i="15"/>
  <c r="M127" i="15"/>
  <c r="M128" i="15"/>
  <c r="M129" i="15"/>
  <c r="M88" i="15"/>
  <c r="M89" i="15"/>
  <c r="M90" i="15"/>
  <c r="M91" i="15"/>
  <c r="M92" i="15"/>
  <c r="M93" i="15"/>
  <c r="M94" i="15"/>
  <c r="M95" i="15"/>
  <c r="M96" i="15"/>
  <c r="M97" i="15"/>
  <c r="M98" i="15"/>
  <c r="M99" i="15"/>
  <c r="M100" i="15"/>
  <c r="M101" i="15"/>
  <c r="M102" i="15"/>
  <c r="M62" i="15"/>
  <c r="M63" i="15"/>
  <c r="M64" i="15"/>
  <c r="M65" i="15"/>
  <c r="M66" i="15"/>
  <c r="M67" i="15"/>
  <c r="M68" i="15"/>
  <c r="M69" i="15"/>
  <c r="M70" i="15"/>
  <c r="M71" i="15"/>
  <c r="M72" i="15"/>
  <c r="M73" i="15"/>
  <c r="M74" i="15"/>
  <c r="M75" i="15"/>
  <c r="M34" i="15"/>
  <c r="M35" i="15"/>
  <c r="M36" i="15"/>
  <c r="M37" i="15"/>
  <c r="M38" i="15"/>
  <c r="M39" i="15"/>
  <c r="M40" i="15"/>
  <c r="M41" i="15"/>
  <c r="M42" i="15"/>
  <c r="M43" i="15"/>
  <c r="M44" i="15"/>
  <c r="M45" i="15"/>
  <c r="M46" i="15"/>
  <c r="M48" i="15"/>
  <c r="P75" i="15" l="1"/>
  <c r="T75" i="15" s="1"/>
  <c r="O75" i="15"/>
  <c r="S75" i="15" s="1"/>
  <c r="N75" i="15"/>
  <c r="R75" i="15" s="1"/>
  <c r="N63" i="15"/>
  <c r="R63" i="15" s="1"/>
  <c r="P63" i="15"/>
  <c r="T63" i="15" s="1"/>
  <c r="O63" i="15"/>
  <c r="S63" i="15" s="1"/>
  <c r="P74" i="15"/>
  <c r="T74" i="15" s="1"/>
  <c r="O74" i="15"/>
  <c r="S74" i="15" s="1"/>
  <c r="N74" i="15"/>
  <c r="P70" i="15"/>
  <c r="O70" i="15"/>
  <c r="S70" i="15" s="1"/>
  <c r="N70" i="15"/>
  <c r="R70" i="15" s="1"/>
  <c r="P66" i="15"/>
  <c r="T66" i="15" s="1"/>
  <c r="O66" i="15"/>
  <c r="S66" i="15" s="1"/>
  <c r="N66" i="15"/>
  <c r="R66" i="15" s="1"/>
  <c r="P62" i="15"/>
  <c r="T62" i="15" s="1"/>
  <c r="O62" i="15"/>
  <c r="S62" i="15" s="1"/>
  <c r="N62" i="15"/>
  <c r="R62" i="15" s="1"/>
  <c r="O67" i="15"/>
  <c r="S67" i="15" s="1"/>
  <c r="P67" i="15"/>
  <c r="T67" i="15" s="1"/>
  <c r="N67" i="15"/>
  <c r="R67" i="15" s="1"/>
  <c r="P73" i="15"/>
  <c r="T73" i="15" s="1"/>
  <c r="O73" i="15"/>
  <c r="S73" i="15" s="1"/>
  <c r="N73" i="15"/>
  <c r="R73" i="15" s="1"/>
  <c r="P69" i="15"/>
  <c r="T69" i="15" s="1"/>
  <c r="O69" i="15"/>
  <c r="N69" i="15"/>
  <c r="R69" i="15" s="1"/>
  <c r="P65" i="15"/>
  <c r="T65" i="15" s="1"/>
  <c r="O65" i="15"/>
  <c r="S65" i="15" s="1"/>
  <c r="N65" i="15"/>
  <c r="R65" i="15" s="1"/>
  <c r="O71" i="15"/>
  <c r="S71" i="15" s="1"/>
  <c r="P71" i="15"/>
  <c r="T71" i="15" s="1"/>
  <c r="N71" i="15"/>
  <c r="R71" i="15" s="1"/>
  <c r="P72" i="15"/>
  <c r="T72" i="15" s="1"/>
  <c r="O72" i="15"/>
  <c r="S72" i="15" s="1"/>
  <c r="N72" i="15"/>
  <c r="R72" i="15" s="1"/>
  <c r="P68" i="15"/>
  <c r="T68" i="15" s="1"/>
  <c r="O68" i="15"/>
  <c r="S68" i="15" s="1"/>
  <c r="N68" i="15"/>
  <c r="R68" i="15" s="1"/>
  <c r="P64" i="15"/>
  <c r="T64" i="15" s="1"/>
  <c r="O64" i="15"/>
  <c r="S64" i="15" s="1"/>
  <c r="N64" i="15"/>
  <c r="R64" i="15" s="1"/>
  <c r="O129" i="15"/>
  <c r="P129" i="15"/>
  <c r="N129" i="15"/>
  <c r="O121" i="15"/>
  <c r="P121" i="15"/>
  <c r="N121" i="15"/>
  <c r="P151" i="15"/>
  <c r="O151" i="15"/>
  <c r="N151" i="15"/>
  <c r="O180" i="15"/>
  <c r="P180" i="15"/>
  <c r="N180" i="15"/>
  <c r="N201" i="15"/>
  <c r="O201" i="15"/>
  <c r="P201" i="15"/>
  <c r="P236" i="15"/>
  <c r="N236" i="15"/>
  <c r="O236" i="15"/>
  <c r="N228" i="15"/>
  <c r="O228" i="15"/>
  <c r="P228" i="15"/>
  <c r="P220" i="15"/>
  <c r="N220" i="15"/>
  <c r="O220" i="15"/>
  <c r="P102" i="15"/>
  <c r="O102" i="15"/>
  <c r="N102" i="15"/>
  <c r="P98" i="15"/>
  <c r="O98" i="15"/>
  <c r="N98" i="15"/>
  <c r="P94" i="15"/>
  <c r="O94" i="15"/>
  <c r="N94" i="15"/>
  <c r="P90" i="15"/>
  <c r="O90" i="15"/>
  <c r="N90" i="15"/>
  <c r="P128" i="15"/>
  <c r="O128" i="15"/>
  <c r="N128" i="15"/>
  <c r="P124" i="15"/>
  <c r="O124" i="15"/>
  <c r="N124" i="15"/>
  <c r="P120" i="15"/>
  <c r="O120" i="15"/>
  <c r="N120" i="15"/>
  <c r="P116" i="15"/>
  <c r="O116" i="15"/>
  <c r="N116" i="15"/>
  <c r="P154" i="15"/>
  <c r="O154" i="15"/>
  <c r="N154" i="15"/>
  <c r="N150" i="15"/>
  <c r="P150" i="15"/>
  <c r="O150" i="15"/>
  <c r="P146" i="15"/>
  <c r="N146" i="15"/>
  <c r="O146" i="15"/>
  <c r="P183" i="15"/>
  <c r="O183" i="15"/>
  <c r="N183" i="15"/>
  <c r="P179" i="15"/>
  <c r="O179" i="15"/>
  <c r="N179" i="15"/>
  <c r="P208" i="15"/>
  <c r="N208" i="15"/>
  <c r="O208" i="15"/>
  <c r="O204" i="15"/>
  <c r="P204" i="15"/>
  <c r="N204" i="15"/>
  <c r="N200" i="15"/>
  <c r="O200" i="15"/>
  <c r="P200" i="15"/>
  <c r="N196" i="15"/>
  <c r="O196" i="15"/>
  <c r="P196" i="15"/>
  <c r="N235" i="15"/>
  <c r="O235" i="15"/>
  <c r="P235" i="15"/>
  <c r="P231" i="15"/>
  <c r="N231" i="15"/>
  <c r="O231" i="15"/>
  <c r="O227" i="15"/>
  <c r="P227" i="15"/>
  <c r="N227" i="15"/>
  <c r="N223" i="15"/>
  <c r="O223" i="15"/>
  <c r="P223" i="15"/>
  <c r="P91" i="15"/>
  <c r="O91" i="15"/>
  <c r="N91" i="15"/>
  <c r="P117" i="15"/>
  <c r="N117" i="15"/>
  <c r="O117" i="15"/>
  <c r="O147" i="15"/>
  <c r="N147" i="15"/>
  <c r="P147" i="15"/>
  <c r="N205" i="15"/>
  <c r="O205" i="15"/>
  <c r="P205" i="15"/>
  <c r="P101" i="15"/>
  <c r="O101" i="15"/>
  <c r="N101" i="15"/>
  <c r="P97" i="15"/>
  <c r="O97" i="15"/>
  <c r="N97" i="15"/>
  <c r="P93" i="15"/>
  <c r="O93" i="15"/>
  <c r="N93" i="15"/>
  <c r="P89" i="15"/>
  <c r="O89" i="15"/>
  <c r="N89" i="15"/>
  <c r="P127" i="15"/>
  <c r="N127" i="15"/>
  <c r="O127" i="15"/>
  <c r="P123" i="15"/>
  <c r="O123" i="15"/>
  <c r="N123" i="15"/>
  <c r="O119" i="15"/>
  <c r="P119" i="15"/>
  <c r="N119" i="15"/>
  <c r="N115" i="15"/>
  <c r="O115" i="15"/>
  <c r="P115" i="15"/>
  <c r="O153" i="15"/>
  <c r="N153" i="15"/>
  <c r="P153" i="15"/>
  <c r="P149" i="15"/>
  <c r="O149" i="15"/>
  <c r="N149" i="15"/>
  <c r="O145" i="15"/>
  <c r="N145" i="15"/>
  <c r="P145" i="15"/>
  <c r="O182" i="15"/>
  <c r="P182" i="15"/>
  <c r="N182" i="15"/>
  <c r="N178" i="15"/>
  <c r="O178" i="15"/>
  <c r="P178" i="15"/>
  <c r="N207" i="15"/>
  <c r="O207" i="15"/>
  <c r="P207" i="15"/>
  <c r="P203" i="15"/>
  <c r="N203" i="15"/>
  <c r="O203" i="15"/>
  <c r="O199" i="15"/>
  <c r="P199" i="15"/>
  <c r="N199" i="15"/>
  <c r="N195" i="15"/>
  <c r="O195" i="15"/>
  <c r="P195" i="15"/>
  <c r="N234" i="15"/>
  <c r="O234" i="15"/>
  <c r="P234" i="15"/>
  <c r="N230" i="15"/>
  <c r="O230" i="15"/>
  <c r="P230" i="15"/>
  <c r="P226" i="15"/>
  <c r="N226" i="15"/>
  <c r="O226" i="15"/>
  <c r="O222" i="15"/>
  <c r="P222" i="15"/>
  <c r="N222" i="15"/>
  <c r="P99" i="15"/>
  <c r="O99" i="15"/>
  <c r="N99" i="15"/>
  <c r="P95" i="15"/>
  <c r="O95" i="15"/>
  <c r="N95" i="15"/>
  <c r="P125" i="15"/>
  <c r="N125" i="15"/>
  <c r="O125" i="15"/>
  <c r="O155" i="15"/>
  <c r="N155" i="15"/>
  <c r="P155" i="15"/>
  <c r="P143" i="15"/>
  <c r="N143" i="15"/>
  <c r="O143" i="15"/>
  <c r="O209" i="15"/>
  <c r="P209" i="15"/>
  <c r="N209" i="15"/>
  <c r="P197" i="15"/>
  <c r="N197" i="15"/>
  <c r="O197" i="15"/>
  <c r="O232" i="15"/>
  <c r="P232" i="15"/>
  <c r="N232" i="15"/>
  <c r="N224" i="15"/>
  <c r="O224" i="15"/>
  <c r="P224" i="15"/>
  <c r="N100" i="15"/>
  <c r="P100" i="15"/>
  <c r="O100" i="15"/>
  <c r="P96" i="15"/>
  <c r="O96" i="15"/>
  <c r="N96" i="15"/>
  <c r="O92" i="15"/>
  <c r="N92" i="15"/>
  <c r="P92" i="15"/>
  <c r="P88" i="15"/>
  <c r="N88" i="15"/>
  <c r="O88" i="15"/>
  <c r="P126" i="15"/>
  <c r="O126" i="15"/>
  <c r="N126" i="15"/>
  <c r="P122" i="15"/>
  <c r="O122" i="15"/>
  <c r="N122" i="15"/>
  <c r="P118" i="15"/>
  <c r="O118" i="15"/>
  <c r="N118" i="15"/>
  <c r="P156" i="15"/>
  <c r="O156" i="15"/>
  <c r="N156" i="15"/>
  <c r="P152" i="15"/>
  <c r="N152" i="15"/>
  <c r="O152" i="15"/>
  <c r="P148" i="15"/>
  <c r="O148" i="15"/>
  <c r="N148" i="15"/>
  <c r="P144" i="15"/>
  <c r="O144" i="15"/>
  <c r="N144" i="15"/>
  <c r="P181" i="15"/>
  <c r="N181" i="15"/>
  <c r="O181" i="15"/>
  <c r="P210" i="15"/>
  <c r="O210" i="15"/>
  <c r="N210" i="15"/>
  <c r="P206" i="15"/>
  <c r="O206" i="15"/>
  <c r="N206" i="15"/>
  <c r="P202" i="15"/>
  <c r="O202" i="15"/>
  <c r="N202" i="15"/>
  <c r="P198" i="15"/>
  <c r="O198" i="15"/>
  <c r="N198" i="15"/>
  <c r="P237" i="15"/>
  <c r="O237" i="15"/>
  <c r="N237" i="15"/>
  <c r="P233" i="15"/>
  <c r="O233" i="15"/>
  <c r="N233" i="15"/>
  <c r="P229" i="15"/>
  <c r="O229" i="15"/>
  <c r="N229" i="15"/>
  <c r="P225" i="15"/>
  <c r="O225" i="15"/>
  <c r="N225" i="15"/>
  <c r="P221" i="15"/>
  <c r="O221" i="15"/>
  <c r="N221" i="15"/>
  <c r="Q70" i="15"/>
  <c r="T70" i="15"/>
  <c r="Q73" i="15"/>
  <c r="Q69" i="15"/>
  <c r="S69" i="15"/>
  <c r="Q65" i="15"/>
  <c r="Q66" i="15"/>
  <c r="Q72" i="15"/>
  <c r="Q68" i="15"/>
  <c r="Q64" i="15"/>
  <c r="Q74" i="15"/>
  <c r="R74" i="15"/>
  <c r="Q62" i="15"/>
  <c r="Q75" i="15"/>
  <c r="Q71" i="15"/>
  <c r="Q67" i="15"/>
  <c r="Q63" i="15"/>
  <c r="R32" i="16" l="1"/>
  <c r="R39" i="16"/>
  <c r="R30" i="16"/>
  <c r="K30" i="16" s="1"/>
  <c r="R34" i="16"/>
  <c r="R33" i="16"/>
  <c r="R37" i="16"/>
  <c r="R31" i="16"/>
  <c r="R35" i="16"/>
  <c r="R36" i="16"/>
  <c r="R38" i="16"/>
  <c r="D40" i="23" l="1"/>
  <c r="E10" i="23" s="1"/>
  <c r="D67" i="23"/>
  <c r="E11" i="23" s="1"/>
  <c r="D94" i="23"/>
  <c r="E12" i="23" s="1"/>
  <c r="D121" i="23"/>
  <c r="E13" i="23" s="1"/>
  <c r="F21" i="26" l="1"/>
  <c r="F22" i="26"/>
  <c r="F24" i="26"/>
  <c r="F23" i="26"/>
  <c r="B101" i="23" l="1"/>
  <c r="B74" i="23"/>
  <c r="B47" i="23"/>
  <c r="B20" i="23"/>
  <c r="B3" i="23"/>
  <c r="B3" i="16"/>
  <c r="B3" i="15"/>
  <c r="B10" i="10"/>
  <c r="T105" i="16"/>
  <c r="T109" i="16"/>
  <c r="T111" i="16"/>
  <c r="T113" i="16"/>
  <c r="T115" i="16"/>
  <c r="T117" i="16"/>
  <c r="T119" i="16"/>
  <c r="U62" i="15"/>
  <c r="U63" i="15"/>
  <c r="U64" i="15"/>
  <c r="U65" i="15"/>
  <c r="U66" i="15"/>
  <c r="U67" i="15"/>
  <c r="U68" i="15"/>
  <c r="U69" i="15"/>
  <c r="U70" i="15"/>
  <c r="U71" i="15"/>
  <c r="U72" i="15"/>
  <c r="U73" i="15"/>
  <c r="U74" i="15"/>
  <c r="U75" i="15"/>
  <c r="T107" i="16" l="1"/>
  <c r="T120" i="16"/>
  <c r="T112" i="16"/>
  <c r="T116" i="16"/>
  <c r="T108" i="16"/>
  <c r="T118" i="16"/>
  <c r="T114" i="16"/>
  <c r="T110" i="16"/>
  <c r="T106" i="16"/>
  <c r="C30" i="15" l="1"/>
  <c r="M30" i="15" s="1"/>
  <c r="C31" i="15"/>
  <c r="M31" i="15" s="1"/>
  <c r="C32" i="15"/>
  <c r="M32" i="15" s="1"/>
  <c r="C33" i="15"/>
  <c r="M33" i="15" s="1"/>
  <c r="C34" i="15"/>
  <c r="C35" i="15"/>
  <c r="C36" i="15"/>
  <c r="C37" i="15"/>
  <c r="C38" i="15"/>
  <c r="C39" i="15"/>
  <c r="C40" i="15"/>
  <c r="C41" i="15"/>
  <c r="C42" i="15"/>
  <c r="C43" i="15"/>
  <c r="C44" i="15"/>
  <c r="C45" i="15"/>
  <c r="C46" i="15"/>
  <c r="C48" i="15"/>
  <c r="C29" i="15"/>
  <c r="M29" i="15" s="1"/>
  <c r="C168" i="15" l="1"/>
  <c r="M168" i="15" s="1"/>
  <c r="B3" i="10"/>
  <c r="N168" i="15" l="1"/>
  <c r="O168" i="15"/>
  <c r="R168" i="15" s="1"/>
  <c r="P168" i="15"/>
  <c r="S168" i="15" l="1"/>
  <c r="Q168" i="15"/>
  <c r="K168" i="15" s="1"/>
  <c r="O50" i="15" l="1"/>
  <c r="P50" i="15"/>
  <c r="Q50" i="15"/>
  <c r="R50" i="15"/>
  <c r="S50" i="15"/>
  <c r="T50" i="15"/>
  <c r="R120" i="16"/>
  <c r="C120" i="16"/>
  <c r="S119" i="16"/>
  <c r="R119" i="16"/>
  <c r="C119" i="16"/>
  <c r="R118" i="16"/>
  <c r="C118" i="16"/>
  <c r="S117" i="16"/>
  <c r="R117" i="16"/>
  <c r="C117" i="16"/>
  <c r="R116" i="16"/>
  <c r="C116" i="16"/>
  <c r="S115" i="16"/>
  <c r="R115" i="16"/>
  <c r="C115" i="16"/>
  <c r="R114" i="16"/>
  <c r="C114" i="16"/>
  <c r="S113" i="16"/>
  <c r="Q113" i="16"/>
  <c r="C113" i="16"/>
  <c r="S112" i="16"/>
  <c r="R112" i="16"/>
  <c r="Q112" i="16"/>
  <c r="C112" i="16"/>
  <c r="S111" i="16"/>
  <c r="C111" i="16"/>
  <c r="R110" i="16"/>
  <c r="C110" i="16"/>
  <c r="Q109" i="16"/>
  <c r="C109" i="16"/>
  <c r="Q108" i="16"/>
  <c r="C108" i="16"/>
  <c r="S107" i="16"/>
  <c r="R107" i="16"/>
  <c r="C107" i="16"/>
  <c r="Q106" i="16"/>
  <c r="C106" i="16"/>
  <c r="S105" i="16"/>
  <c r="C105" i="16"/>
  <c r="C104" i="16"/>
  <c r="L104" i="16" s="1"/>
  <c r="C103" i="16"/>
  <c r="L103" i="16" s="1"/>
  <c r="C102" i="16"/>
  <c r="L102" i="16" s="1"/>
  <c r="C101" i="16"/>
  <c r="L101" i="16" s="1"/>
  <c r="G101" i="16" s="1"/>
  <c r="C93" i="16"/>
  <c r="C92" i="16"/>
  <c r="C91" i="16"/>
  <c r="C90" i="16"/>
  <c r="C89" i="16"/>
  <c r="C88" i="16"/>
  <c r="C87" i="16"/>
  <c r="C86" i="16"/>
  <c r="C85" i="16"/>
  <c r="C84" i="16"/>
  <c r="C83" i="16"/>
  <c r="C82" i="16"/>
  <c r="C81" i="16"/>
  <c r="C80" i="16"/>
  <c r="C79" i="16"/>
  <c r="C78" i="16"/>
  <c r="C77" i="16"/>
  <c r="C76" i="16"/>
  <c r="C75" i="16"/>
  <c r="C74" i="16"/>
  <c r="L74" i="16" s="1"/>
  <c r="C39" i="16"/>
  <c r="C38" i="16"/>
  <c r="C37" i="16"/>
  <c r="C36" i="16"/>
  <c r="C35" i="16"/>
  <c r="C34" i="16"/>
  <c r="C33" i="16"/>
  <c r="C32" i="16"/>
  <c r="C31" i="16"/>
  <c r="C30" i="16"/>
  <c r="C29" i="16"/>
  <c r="L29" i="16" s="1"/>
  <c r="C28" i="16"/>
  <c r="L28" i="16" s="1"/>
  <c r="C27" i="16"/>
  <c r="L27" i="16" s="1"/>
  <c r="C26" i="16"/>
  <c r="L26" i="16" s="1"/>
  <c r="C25" i="16"/>
  <c r="L25" i="16" s="1"/>
  <c r="C24" i="16"/>
  <c r="L24" i="16" s="1"/>
  <c r="C23" i="16"/>
  <c r="L23" i="16" s="1"/>
  <c r="C22" i="16"/>
  <c r="L22" i="16" s="1"/>
  <c r="C21" i="16"/>
  <c r="L21" i="16" s="1"/>
  <c r="C20" i="16"/>
  <c r="L20" i="16" s="1"/>
  <c r="C218" i="15"/>
  <c r="M218" i="15" s="1"/>
  <c r="C219" i="15"/>
  <c r="M219" i="15" s="1"/>
  <c r="C220" i="15"/>
  <c r="C221" i="15"/>
  <c r="C222" i="15"/>
  <c r="C223" i="15"/>
  <c r="C224" i="15"/>
  <c r="C225" i="15"/>
  <c r="C226" i="15"/>
  <c r="C227" i="15"/>
  <c r="C228" i="15"/>
  <c r="C229" i="15"/>
  <c r="C230" i="15"/>
  <c r="C231" i="15"/>
  <c r="C232" i="15"/>
  <c r="C233" i="15"/>
  <c r="C234" i="15"/>
  <c r="C235" i="15"/>
  <c r="C236" i="15"/>
  <c r="C237" i="15"/>
  <c r="C191" i="15"/>
  <c r="M191" i="15" s="1"/>
  <c r="C192" i="15"/>
  <c r="M192" i="15" s="1"/>
  <c r="C193" i="15"/>
  <c r="M193" i="15" s="1"/>
  <c r="C194" i="15"/>
  <c r="M194" i="15" s="1"/>
  <c r="C195" i="15"/>
  <c r="C196" i="15"/>
  <c r="C197" i="15"/>
  <c r="C198" i="15"/>
  <c r="C199" i="15"/>
  <c r="C200" i="15"/>
  <c r="C201" i="15"/>
  <c r="C202" i="15"/>
  <c r="C203" i="15"/>
  <c r="C204" i="15"/>
  <c r="C205" i="15"/>
  <c r="C206" i="15"/>
  <c r="C207" i="15"/>
  <c r="C208" i="15"/>
  <c r="C209" i="15"/>
  <c r="C210" i="15"/>
  <c r="C164" i="15"/>
  <c r="M164" i="15" s="1"/>
  <c r="C165" i="15"/>
  <c r="M165" i="15" s="1"/>
  <c r="C166" i="15"/>
  <c r="M166" i="15" s="1"/>
  <c r="C167" i="15"/>
  <c r="M167" i="15" s="1"/>
  <c r="C169" i="15"/>
  <c r="M169" i="15" s="1"/>
  <c r="C170" i="15"/>
  <c r="M170" i="15" s="1"/>
  <c r="C171" i="15"/>
  <c r="M171" i="15" s="1"/>
  <c r="C172" i="15"/>
  <c r="M172" i="15" s="1"/>
  <c r="C173" i="15"/>
  <c r="M173" i="15" s="1"/>
  <c r="C174" i="15"/>
  <c r="M174" i="15" s="1"/>
  <c r="C175" i="15"/>
  <c r="M175" i="15" s="1"/>
  <c r="C176" i="15"/>
  <c r="M176" i="15" s="1"/>
  <c r="C177" i="15"/>
  <c r="M177" i="15" s="1"/>
  <c r="C178" i="15"/>
  <c r="C179" i="15"/>
  <c r="C180" i="15"/>
  <c r="C181" i="15"/>
  <c r="C182" i="15"/>
  <c r="C183" i="15"/>
  <c r="C137" i="15"/>
  <c r="M137" i="15" s="1"/>
  <c r="C138" i="15"/>
  <c r="M138" i="15" s="1"/>
  <c r="C139" i="15"/>
  <c r="M139" i="15" s="1"/>
  <c r="C140" i="15"/>
  <c r="M140" i="15" s="1"/>
  <c r="C141" i="15"/>
  <c r="M141" i="15" s="1"/>
  <c r="C142" i="15"/>
  <c r="M142" i="15" s="1"/>
  <c r="C143" i="15"/>
  <c r="C144" i="15"/>
  <c r="C145" i="15"/>
  <c r="C146" i="15"/>
  <c r="C147" i="15"/>
  <c r="C148" i="15"/>
  <c r="C149" i="15"/>
  <c r="C150" i="15"/>
  <c r="C151" i="15"/>
  <c r="C152" i="15"/>
  <c r="C153" i="15"/>
  <c r="C154" i="15"/>
  <c r="C155" i="15"/>
  <c r="C156" i="15"/>
  <c r="Q156" i="15"/>
  <c r="Q155" i="15"/>
  <c r="Q154" i="15"/>
  <c r="Q153" i="15"/>
  <c r="Q152" i="15"/>
  <c r="Q151" i="15"/>
  <c r="Q150" i="15"/>
  <c r="Q149" i="15"/>
  <c r="Q147" i="15"/>
  <c r="Q146" i="15"/>
  <c r="Q145" i="15"/>
  <c r="Q143" i="15"/>
  <c r="C110" i="15"/>
  <c r="M110" i="15" s="1"/>
  <c r="C111" i="15"/>
  <c r="M111" i="15" s="1"/>
  <c r="C112" i="15"/>
  <c r="M112" i="15" s="1"/>
  <c r="C113" i="15"/>
  <c r="M113" i="15" s="1"/>
  <c r="C114" i="15"/>
  <c r="M114" i="15" s="1"/>
  <c r="C115" i="15"/>
  <c r="C116" i="15"/>
  <c r="C117" i="15"/>
  <c r="C118" i="15"/>
  <c r="C119" i="15"/>
  <c r="C120" i="15"/>
  <c r="C121" i="15"/>
  <c r="C122" i="15"/>
  <c r="C123" i="15"/>
  <c r="C124" i="15"/>
  <c r="C125" i="15"/>
  <c r="C126" i="15"/>
  <c r="C127" i="15"/>
  <c r="C128" i="15"/>
  <c r="C129" i="15"/>
  <c r="C83" i="15"/>
  <c r="M83" i="15" s="1"/>
  <c r="C84" i="15"/>
  <c r="M84" i="15" s="1"/>
  <c r="C85" i="15"/>
  <c r="M85" i="15" s="1"/>
  <c r="C86" i="15"/>
  <c r="M86" i="15" s="1"/>
  <c r="C87" i="15"/>
  <c r="M87" i="15" s="1"/>
  <c r="C88" i="15"/>
  <c r="C89" i="15"/>
  <c r="C90" i="15"/>
  <c r="C91" i="15"/>
  <c r="C92" i="15"/>
  <c r="C93" i="15"/>
  <c r="C94" i="15"/>
  <c r="C95" i="15"/>
  <c r="C96" i="15"/>
  <c r="C97" i="15"/>
  <c r="C98" i="15"/>
  <c r="C99" i="15"/>
  <c r="C100" i="15"/>
  <c r="C101" i="15"/>
  <c r="C102" i="15"/>
  <c r="C56" i="15"/>
  <c r="M56" i="15" s="1"/>
  <c r="C57" i="15"/>
  <c r="M57" i="15" s="1"/>
  <c r="C58" i="15"/>
  <c r="M58" i="15" s="1"/>
  <c r="C59" i="15"/>
  <c r="M59" i="15" s="1"/>
  <c r="C60" i="15"/>
  <c r="M60" i="15" s="1"/>
  <c r="C61" i="15"/>
  <c r="M61" i="15" s="1"/>
  <c r="C62" i="15"/>
  <c r="C63" i="15"/>
  <c r="C64" i="15"/>
  <c r="C65" i="15"/>
  <c r="C66" i="15"/>
  <c r="C67" i="15"/>
  <c r="C68" i="15"/>
  <c r="C69" i="15"/>
  <c r="C70" i="15"/>
  <c r="C71" i="15"/>
  <c r="C72" i="15"/>
  <c r="C73" i="15"/>
  <c r="C74" i="15"/>
  <c r="C75" i="15"/>
  <c r="G15" i="12"/>
  <c r="G14" i="12"/>
  <c r="G11" i="12"/>
  <c r="G10" i="12"/>
  <c r="G9" i="12"/>
  <c r="G8" i="12"/>
  <c r="G7" i="12"/>
  <c r="G6" i="12"/>
  <c r="G5" i="12"/>
  <c r="G4" i="12"/>
  <c r="O20" i="16" l="1"/>
  <c r="R20" i="16" s="1"/>
  <c r="N20" i="16"/>
  <c r="Q20" i="16" s="1"/>
  <c r="M20" i="16"/>
  <c r="P20" i="16" s="1"/>
  <c r="P83" i="15"/>
  <c r="O83" i="15"/>
  <c r="N83" i="15"/>
  <c r="P58" i="15"/>
  <c r="T58" i="15" s="1"/>
  <c r="O58" i="15"/>
  <c r="S58" i="15" s="1"/>
  <c r="N58" i="15"/>
  <c r="P61" i="15"/>
  <c r="T61" i="15" s="1"/>
  <c r="O61" i="15"/>
  <c r="S61" i="15" s="1"/>
  <c r="N61" i="15"/>
  <c r="R61" i="15" s="1"/>
  <c r="P59" i="15"/>
  <c r="N59" i="15"/>
  <c r="O59" i="15"/>
  <c r="S59" i="15" s="1"/>
  <c r="P57" i="15"/>
  <c r="T57" i="15" s="1"/>
  <c r="O57" i="15"/>
  <c r="N57" i="15"/>
  <c r="P60" i="15"/>
  <c r="T60" i="15" s="1"/>
  <c r="O60" i="15"/>
  <c r="N60" i="15"/>
  <c r="P56" i="15"/>
  <c r="T56" i="15" s="1"/>
  <c r="O56" i="15"/>
  <c r="S56" i="15" s="1"/>
  <c r="N56" i="15"/>
  <c r="O21" i="16"/>
  <c r="N21" i="16"/>
  <c r="Q21" i="16" s="1"/>
  <c r="M21" i="16"/>
  <c r="P21" i="16" s="1"/>
  <c r="O25" i="16"/>
  <c r="N25" i="16"/>
  <c r="Q25" i="16" s="1"/>
  <c r="M25" i="16"/>
  <c r="P25" i="16" s="1"/>
  <c r="O29" i="16"/>
  <c r="N29" i="16"/>
  <c r="Q29" i="16" s="1"/>
  <c r="M29" i="16"/>
  <c r="P29" i="16" s="1"/>
  <c r="O24" i="16"/>
  <c r="N24" i="16"/>
  <c r="Q24" i="16" s="1"/>
  <c r="M24" i="16"/>
  <c r="P24" i="16" s="1"/>
  <c r="O74" i="16"/>
  <c r="R74" i="16" s="1"/>
  <c r="F122" i="26" s="1"/>
  <c r="N74" i="16"/>
  <c r="Q74" i="16" s="1"/>
  <c r="E122" i="26" s="1"/>
  <c r="M74" i="16"/>
  <c r="O22" i="16"/>
  <c r="N22" i="16"/>
  <c r="Q22" i="16" s="1"/>
  <c r="M22" i="16"/>
  <c r="P22" i="16" s="1"/>
  <c r="O26" i="16"/>
  <c r="N26" i="16"/>
  <c r="Q26" i="16" s="1"/>
  <c r="M26" i="16"/>
  <c r="P26" i="16" s="1"/>
  <c r="O28" i="16"/>
  <c r="N28" i="16"/>
  <c r="Q28" i="16" s="1"/>
  <c r="M28" i="16"/>
  <c r="P28" i="16" s="1"/>
  <c r="O23" i="16"/>
  <c r="N23" i="16"/>
  <c r="Q23" i="16" s="1"/>
  <c r="M23" i="16"/>
  <c r="P23" i="16" s="1"/>
  <c r="O27" i="16"/>
  <c r="N27" i="16"/>
  <c r="Q27" i="16" s="1"/>
  <c r="M27" i="16"/>
  <c r="P27" i="16" s="1"/>
  <c r="P165" i="15"/>
  <c r="S165" i="15" s="1"/>
  <c r="N165" i="15"/>
  <c r="O165" i="15"/>
  <c r="O84" i="15"/>
  <c r="P84" i="15"/>
  <c r="N84" i="15"/>
  <c r="P111" i="15"/>
  <c r="N111" i="15"/>
  <c r="Q111" i="15" s="1"/>
  <c r="O111" i="15"/>
  <c r="O142" i="15"/>
  <c r="P142" i="15"/>
  <c r="S142" i="15" s="1"/>
  <c r="N142" i="15"/>
  <c r="Q142" i="15" s="1"/>
  <c r="P138" i="15"/>
  <c r="S138" i="15" s="1"/>
  <c r="O138" i="15"/>
  <c r="N138" i="15"/>
  <c r="Q138" i="15" s="1"/>
  <c r="O177" i="15"/>
  <c r="P177" i="15"/>
  <c r="N177" i="15"/>
  <c r="N173" i="15"/>
  <c r="O173" i="15"/>
  <c r="P173" i="15"/>
  <c r="O169" i="15"/>
  <c r="P169" i="15"/>
  <c r="N169" i="15"/>
  <c r="O164" i="15"/>
  <c r="P164" i="15"/>
  <c r="S164" i="15" s="1"/>
  <c r="N164" i="15"/>
  <c r="O193" i="15"/>
  <c r="P193" i="15"/>
  <c r="S193" i="15" s="1"/>
  <c r="N193" i="15"/>
  <c r="P85" i="15"/>
  <c r="O85" i="15"/>
  <c r="N85" i="15"/>
  <c r="P112" i="15"/>
  <c r="O112" i="15"/>
  <c r="N112" i="15"/>
  <c r="P170" i="15"/>
  <c r="N170" i="15"/>
  <c r="O170" i="15"/>
  <c r="P194" i="15"/>
  <c r="O194" i="15"/>
  <c r="N194" i="15"/>
  <c r="P87" i="15"/>
  <c r="O87" i="15"/>
  <c r="N87" i="15"/>
  <c r="P114" i="15"/>
  <c r="O114" i="15"/>
  <c r="N114" i="15"/>
  <c r="Q114" i="15" s="1"/>
  <c r="P110" i="15"/>
  <c r="O110" i="15"/>
  <c r="N110" i="15"/>
  <c r="Q110" i="15" s="1"/>
  <c r="N141" i="15"/>
  <c r="Q141" i="15" s="1"/>
  <c r="P141" i="15"/>
  <c r="O141" i="15"/>
  <c r="N137" i="15"/>
  <c r="Q137" i="15" s="1"/>
  <c r="O137" i="15"/>
  <c r="P137" i="15"/>
  <c r="P176" i="15"/>
  <c r="N176" i="15"/>
  <c r="O176" i="15"/>
  <c r="O172" i="15"/>
  <c r="P172" i="15"/>
  <c r="N172" i="15"/>
  <c r="P167" i="15"/>
  <c r="O167" i="15"/>
  <c r="N167" i="15"/>
  <c r="P192" i="15"/>
  <c r="S192" i="15" s="1"/>
  <c r="N192" i="15"/>
  <c r="O192" i="15"/>
  <c r="N219" i="15"/>
  <c r="O219" i="15"/>
  <c r="P219" i="15"/>
  <c r="O139" i="15"/>
  <c r="N139" i="15"/>
  <c r="Q139" i="15" s="1"/>
  <c r="P139" i="15"/>
  <c r="O174" i="15"/>
  <c r="N174" i="15"/>
  <c r="P174" i="15"/>
  <c r="P86" i="15"/>
  <c r="O86" i="15"/>
  <c r="N86" i="15"/>
  <c r="O113" i="15"/>
  <c r="P113" i="15"/>
  <c r="N113" i="15"/>
  <c r="P140" i="15"/>
  <c r="O140" i="15"/>
  <c r="N140" i="15"/>
  <c r="P175" i="15"/>
  <c r="O175" i="15"/>
  <c r="N175" i="15"/>
  <c r="P171" i="15"/>
  <c r="O171" i="15"/>
  <c r="N171" i="15"/>
  <c r="O166" i="15"/>
  <c r="P166" i="15"/>
  <c r="N166" i="15"/>
  <c r="N191" i="15"/>
  <c r="O191" i="15"/>
  <c r="P191" i="15"/>
  <c r="N218" i="15"/>
  <c r="O218" i="15"/>
  <c r="P218" i="15"/>
  <c r="Q59" i="15"/>
  <c r="U59" i="15" s="1"/>
  <c r="T59" i="15"/>
  <c r="Q60" i="15"/>
  <c r="U60" i="15" s="1"/>
  <c r="S60" i="15"/>
  <c r="Q58" i="15"/>
  <c r="U58" i="15" s="1"/>
  <c r="Q56" i="15"/>
  <c r="U56" i="15" s="1"/>
  <c r="Q61" i="15"/>
  <c r="U61" i="15" s="1"/>
  <c r="Q57" i="15"/>
  <c r="U57" i="15" s="1"/>
  <c r="S57" i="15"/>
  <c r="G102" i="16"/>
  <c r="P102" i="16"/>
  <c r="N102" i="16"/>
  <c r="R102" i="16" s="1"/>
  <c r="O102" i="16"/>
  <c r="S102" i="16" s="1"/>
  <c r="M102" i="16"/>
  <c r="O101" i="16"/>
  <c r="M101" i="16"/>
  <c r="P101" i="16"/>
  <c r="N101" i="16"/>
  <c r="G104" i="16"/>
  <c r="P104" i="16"/>
  <c r="N104" i="16"/>
  <c r="O104" i="16"/>
  <c r="S104" i="16" s="1"/>
  <c r="M104" i="16"/>
  <c r="G103" i="16"/>
  <c r="P103" i="16"/>
  <c r="N103" i="16"/>
  <c r="R103" i="16" s="1"/>
  <c r="O103" i="16"/>
  <c r="M103" i="16"/>
  <c r="R75" i="16"/>
  <c r="Q76" i="16"/>
  <c r="P77" i="16"/>
  <c r="R79" i="16"/>
  <c r="Q80" i="16"/>
  <c r="P81" i="16"/>
  <c r="R83" i="16"/>
  <c r="Q84" i="16"/>
  <c r="P85" i="16"/>
  <c r="R87" i="16"/>
  <c r="Q88" i="16"/>
  <c r="P89" i="16"/>
  <c r="R91" i="16"/>
  <c r="Q92" i="16"/>
  <c r="P93" i="16"/>
  <c r="R76" i="16"/>
  <c r="Q77" i="16"/>
  <c r="P78" i="16"/>
  <c r="R80" i="16"/>
  <c r="Q81" i="16"/>
  <c r="P82" i="16"/>
  <c r="R84" i="16"/>
  <c r="Q85" i="16"/>
  <c r="P86" i="16"/>
  <c r="R88" i="16"/>
  <c r="Q89" i="16"/>
  <c r="P90" i="16"/>
  <c r="R92" i="16"/>
  <c r="Q93" i="16"/>
  <c r="P75" i="16"/>
  <c r="R77" i="16"/>
  <c r="Q78" i="16"/>
  <c r="P79" i="16"/>
  <c r="R81" i="16"/>
  <c r="Q82" i="16"/>
  <c r="P83" i="16"/>
  <c r="R85" i="16"/>
  <c r="Q86" i="16"/>
  <c r="P87" i="16"/>
  <c r="R89" i="16"/>
  <c r="Q90" i="16"/>
  <c r="P91" i="16"/>
  <c r="R93" i="16"/>
  <c r="Q75" i="16"/>
  <c r="P76" i="16"/>
  <c r="R78" i="16"/>
  <c r="Q79" i="16"/>
  <c r="P80" i="16"/>
  <c r="R82" i="16"/>
  <c r="Q83" i="16"/>
  <c r="P84" i="16"/>
  <c r="R86" i="16"/>
  <c r="Q87" i="16"/>
  <c r="P88" i="16"/>
  <c r="R90" i="16"/>
  <c r="Q91" i="16"/>
  <c r="P92" i="16"/>
  <c r="S110" i="16"/>
  <c r="S116" i="16"/>
  <c r="R106" i="16"/>
  <c r="S118" i="16"/>
  <c r="R113" i="16"/>
  <c r="S114" i="16"/>
  <c r="Q105" i="16"/>
  <c r="S106" i="16"/>
  <c r="S108" i="16"/>
  <c r="S109" i="16"/>
  <c r="Q110" i="16"/>
  <c r="R111" i="16"/>
  <c r="S120" i="16"/>
  <c r="R109" i="16"/>
  <c r="R105" i="16"/>
  <c r="Q107" i="16"/>
  <c r="R108" i="16"/>
  <c r="Q111" i="16"/>
  <c r="Q114" i="16"/>
  <c r="Q116" i="16"/>
  <c r="Q118" i="16"/>
  <c r="Q120" i="16"/>
  <c r="Q115" i="16"/>
  <c r="Q117" i="16"/>
  <c r="Q119" i="16"/>
  <c r="Q200" i="15"/>
  <c r="Q208" i="15"/>
  <c r="Q225" i="15"/>
  <c r="Q233" i="15"/>
  <c r="Q196" i="15"/>
  <c r="Q221" i="15"/>
  <c r="Q237" i="15"/>
  <c r="Q204" i="15"/>
  <c r="Q229" i="15"/>
  <c r="Q198" i="15"/>
  <c r="Q206" i="15"/>
  <c r="Q227" i="15"/>
  <c r="Q235" i="15"/>
  <c r="Q202" i="15"/>
  <c r="Q210" i="15"/>
  <c r="Q223" i="15"/>
  <c r="Q231" i="15"/>
  <c r="Q195" i="15"/>
  <c r="Q197" i="15"/>
  <c r="Q199" i="15"/>
  <c r="Q201" i="15"/>
  <c r="Q203" i="15"/>
  <c r="Q205" i="15"/>
  <c r="Q207" i="15"/>
  <c r="Q209" i="15"/>
  <c r="Q220" i="15"/>
  <c r="Q222" i="15"/>
  <c r="Q224" i="15"/>
  <c r="Q226" i="15"/>
  <c r="Q228" i="15"/>
  <c r="Q230" i="15"/>
  <c r="Q232" i="15"/>
  <c r="Q234" i="15"/>
  <c r="Q236" i="15"/>
  <c r="R220" i="15"/>
  <c r="R221" i="15"/>
  <c r="R222" i="15"/>
  <c r="R223" i="15"/>
  <c r="R224" i="15"/>
  <c r="R225" i="15"/>
  <c r="R226" i="15"/>
  <c r="R227" i="15"/>
  <c r="R228" i="15"/>
  <c r="R229" i="15"/>
  <c r="R230" i="15"/>
  <c r="R231" i="15"/>
  <c r="R232" i="15"/>
  <c r="R233" i="15"/>
  <c r="R234" i="15"/>
  <c r="R235" i="15"/>
  <c r="R236" i="15"/>
  <c r="R237" i="15"/>
  <c r="S220" i="15"/>
  <c r="S221" i="15"/>
  <c r="S222" i="15"/>
  <c r="S223" i="15"/>
  <c r="S224" i="15"/>
  <c r="S225" i="15"/>
  <c r="S226" i="15"/>
  <c r="S227" i="15"/>
  <c r="S228" i="15"/>
  <c r="S229" i="15"/>
  <c r="S230" i="15"/>
  <c r="S231" i="15"/>
  <c r="S232" i="15"/>
  <c r="S233" i="15"/>
  <c r="S234" i="15"/>
  <c r="S235" i="15"/>
  <c r="S236" i="15"/>
  <c r="S237" i="15"/>
  <c r="R195" i="15"/>
  <c r="R196" i="15"/>
  <c r="R197" i="15"/>
  <c r="R198" i="15"/>
  <c r="R199" i="15"/>
  <c r="R200" i="15"/>
  <c r="R201" i="15"/>
  <c r="R202" i="15"/>
  <c r="R203" i="15"/>
  <c r="R204" i="15"/>
  <c r="R205" i="15"/>
  <c r="R206" i="15"/>
  <c r="R207" i="15"/>
  <c r="R208" i="15"/>
  <c r="R209" i="15"/>
  <c r="R210" i="15"/>
  <c r="S195" i="15"/>
  <c r="S196" i="15"/>
  <c r="S197" i="15"/>
  <c r="S198" i="15"/>
  <c r="S199" i="15"/>
  <c r="S200" i="15"/>
  <c r="S201" i="15"/>
  <c r="S202" i="15"/>
  <c r="S203" i="15"/>
  <c r="S204" i="15"/>
  <c r="S205" i="15"/>
  <c r="S206" i="15"/>
  <c r="S207" i="15"/>
  <c r="S208" i="15"/>
  <c r="S209" i="15"/>
  <c r="S210" i="15"/>
  <c r="Q179" i="15"/>
  <c r="Q181" i="15"/>
  <c r="Q183" i="15"/>
  <c r="Q178" i="15"/>
  <c r="Q180" i="15"/>
  <c r="Q182" i="15"/>
  <c r="Q115" i="15"/>
  <c r="Q116" i="15"/>
  <c r="Q117" i="15"/>
  <c r="Q118" i="15"/>
  <c r="Q119" i="15"/>
  <c r="Q120" i="15"/>
  <c r="Q121" i="15"/>
  <c r="Q122" i="15"/>
  <c r="Q123" i="15"/>
  <c r="Q124" i="15"/>
  <c r="Q125" i="15"/>
  <c r="Q126" i="15"/>
  <c r="Q127" i="15"/>
  <c r="Q128" i="15"/>
  <c r="Q129" i="15"/>
  <c r="Q144" i="15"/>
  <c r="Q148" i="15"/>
  <c r="R115" i="15"/>
  <c r="R116" i="15"/>
  <c r="R117" i="15"/>
  <c r="R118" i="15"/>
  <c r="R119" i="15"/>
  <c r="R120" i="15"/>
  <c r="R121" i="15"/>
  <c r="R122" i="15"/>
  <c r="R123" i="15"/>
  <c r="R124" i="15"/>
  <c r="R125" i="15"/>
  <c r="R126" i="15"/>
  <c r="R127" i="15"/>
  <c r="R128" i="15"/>
  <c r="R129" i="15"/>
  <c r="R151" i="15"/>
  <c r="R152" i="15"/>
  <c r="R153" i="15"/>
  <c r="R154" i="15"/>
  <c r="R155" i="15"/>
  <c r="R156" i="15"/>
  <c r="R178" i="15"/>
  <c r="R179" i="15"/>
  <c r="R180" i="15"/>
  <c r="R181" i="15"/>
  <c r="R182" i="15"/>
  <c r="R183" i="15"/>
  <c r="S178" i="15"/>
  <c r="S179" i="15"/>
  <c r="S180" i="15"/>
  <c r="S181" i="15"/>
  <c r="S182" i="15"/>
  <c r="S183" i="15"/>
  <c r="R143" i="15"/>
  <c r="R144" i="15"/>
  <c r="R145" i="15"/>
  <c r="R146" i="15"/>
  <c r="R147" i="15"/>
  <c r="R148" i="15"/>
  <c r="R149" i="15"/>
  <c r="R150" i="15"/>
  <c r="S143" i="15"/>
  <c r="S144" i="15"/>
  <c r="S145" i="15"/>
  <c r="S146" i="15"/>
  <c r="S147" i="15"/>
  <c r="S148" i="15"/>
  <c r="S149" i="15"/>
  <c r="S150" i="15"/>
  <c r="S151" i="15"/>
  <c r="S152" i="15"/>
  <c r="S153" i="15"/>
  <c r="S154" i="15"/>
  <c r="S155" i="15"/>
  <c r="S156" i="15"/>
  <c r="S115" i="15"/>
  <c r="S116" i="15"/>
  <c r="S117" i="15"/>
  <c r="S118" i="15"/>
  <c r="S119" i="15"/>
  <c r="S120" i="15"/>
  <c r="S121" i="15"/>
  <c r="S122" i="15"/>
  <c r="S123" i="15"/>
  <c r="S124" i="15"/>
  <c r="S125" i="15"/>
  <c r="S126" i="15"/>
  <c r="S127" i="15"/>
  <c r="S128" i="15"/>
  <c r="S129" i="15"/>
  <c r="Q89" i="15"/>
  <c r="Q91" i="15"/>
  <c r="Q93" i="15"/>
  <c r="Q95" i="15"/>
  <c r="Q97" i="15"/>
  <c r="Q99" i="15"/>
  <c r="Q101" i="15"/>
  <c r="Q88" i="15"/>
  <c r="Q90" i="15"/>
  <c r="Q92" i="15"/>
  <c r="Q94" i="15"/>
  <c r="Q96" i="15"/>
  <c r="Q98" i="15"/>
  <c r="Q100" i="15"/>
  <c r="Q102" i="15"/>
  <c r="R88" i="15"/>
  <c r="R89" i="15"/>
  <c r="R90" i="15"/>
  <c r="R91" i="15"/>
  <c r="R92" i="15"/>
  <c r="R93" i="15"/>
  <c r="R94" i="15"/>
  <c r="R95" i="15"/>
  <c r="R96" i="15"/>
  <c r="R97" i="15"/>
  <c r="R98" i="15"/>
  <c r="R99" i="15"/>
  <c r="R100" i="15"/>
  <c r="R101" i="15"/>
  <c r="R102" i="15"/>
  <c r="S88" i="15"/>
  <c r="S89" i="15"/>
  <c r="S90" i="15"/>
  <c r="S91" i="15"/>
  <c r="S92" i="15"/>
  <c r="S93" i="15"/>
  <c r="S94" i="15"/>
  <c r="S95" i="15"/>
  <c r="S96" i="15"/>
  <c r="S97" i="15"/>
  <c r="S98" i="15"/>
  <c r="S99" i="15"/>
  <c r="S100" i="15"/>
  <c r="S101" i="15"/>
  <c r="S102" i="15"/>
  <c r="D162" i="26" l="1"/>
  <c r="D115" i="26"/>
  <c r="D114" i="26"/>
  <c r="D140" i="26" s="1"/>
  <c r="F140" i="26" s="1"/>
  <c r="K61" i="15"/>
  <c r="F112" i="26"/>
  <c r="U76" i="15"/>
  <c r="D80" i="26" s="1"/>
  <c r="Q103" i="16"/>
  <c r="S191" i="15"/>
  <c r="Q102" i="16"/>
  <c r="R101" i="16"/>
  <c r="R25" i="16"/>
  <c r="K25" i="16" s="1"/>
  <c r="R27" i="16"/>
  <c r="K27" i="16" s="1"/>
  <c r="R29" i="16"/>
  <c r="K29" i="16" s="1"/>
  <c r="R26" i="16"/>
  <c r="K26" i="16" s="1"/>
  <c r="R28" i="16"/>
  <c r="S140" i="15"/>
  <c r="R104" i="16"/>
  <c r="T76" i="15"/>
  <c r="F30" i="26" s="1"/>
  <c r="R21" i="16"/>
  <c r="K21" i="16" s="1"/>
  <c r="R23" i="16"/>
  <c r="R22" i="16"/>
  <c r="K22" i="16" s="1"/>
  <c r="R24" i="16"/>
  <c r="S103" i="16"/>
  <c r="S101" i="16"/>
  <c r="Q104" i="16"/>
  <c r="T104" i="16"/>
  <c r="T103" i="16"/>
  <c r="T101" i="16"/>
  <c r="T102" i="16"/>
  <c r="Q101" i="16"/>
  <c r="R58" i="15"/>
  <c r="K58" i="15" s="1"/>
  <c r="R60" i="15"/>
  <c r="K60" i="15" s="1"/>
  <c r="R59" i="15"/>
  <c r="K59" i="15" s="1"/>
  <c r="R56" i="15"/>
  <c r="R57" i="15"/>
  <c r="K57" i="15" s="1"/>
  <c r="S141" i="15"/>
  <c r="S167" i="15"/>
  <c r="Q112" i="15"/>
  <c r="Q191" i="15"/>
  <c r="R170" i="15"/>
  <c r="S173" i="15"/>
  <c r="S87" i="15"/>
  <c r="S137" i="15"/>
  <c r="F115" i="26" s="1"/>
  <c r="R137" i="15"/>
  <c r="E115" i="26" s="1"/>
  <c r="R173" i="15"/>
  <c r="R167" i="15"/>
  <c r="R87" i="15"/>
  <c r="R177" i="15"/>
  <c r="Q173" i="15"/>
  <c r="R175" i="15"/>
  <c r="Q85" i="15"/>
  <c r="Q194" i="15"/>
  <c r="Q193" i="15"/>
  <c r="S113" i="15"/>
  <c r="S110" i="15"/>
  <c r="F114" i="26" s="1"/>
  <c r="S172" i="15"/>
  <c r="R138" i="15"/>
  <c r="K138" i="15" s="1"/>
  <c r="Q218" i="15"/>
  <c r="Q171" i="15"/>
  <c r="Q170" i="15"/>
  <c r="Q175" i="15"/>
  <c r="R191" i="15"/>
  <c r="S219" i="15"/>
  <c r="S84" i="15"/>
  <c r="R142" i="15"/>
  <c r="Q86" i="15"/>
  <c r="Q87" i="15"/>
  <c r="S139" i="15"/>
  <c r="R141" i="15"/>
  <c r="R174" i="15"/>
  <c r="Q164" i="15"/>
  <c r="Q176" i="15"/>
  <c r="Q177" i="15"/>
  <c r="Q169" i="15"/>
  <c r="Q192" i="15"/>
  <c r="S112" i="15"/>
  <c r="R140" i="15"/>
  <c r="S166" i="15"/>
  <c r="R139" i="15"/>
  <c r="R194" i="15"/>
  <c r="R114" i="15"/>
  <c r="Q84" i="15"/>
  <c r="R169" i="15"/>
  <c r="S175" i="15"/>
  <c r="Q165" i="15"/>
  <c r="R113" i="15"/>
  <c r="Q172" i="15"/>
  <c r="R218" i="15"/>
  <c r="S86" i="15"/>
  <c r="S177" i="15"/>
  <c r="Q219" i="15"/>
  <c r="R85" i="15"/>
  <c r="S174" i="15"/>
  <c r="R176" i="15"/>
  <c r="R171" i="15"/>
  <c r="R164" i="15"/>
  <c r="Q166" i="15"/>
  <c r="R192" i="15"/>
  <c r="R172" i="15"/>
  <c r="R111" i="15"/>
  <c r="S218" i="15"/>
  <c r="R84" i="15"/>
  <c r="Q113" i="15"/>
  <c r="S194" i="15"/>
  <c r="S171" i="15"/>
  <c r="S85" i="15"/>
  <c r="S83" i="15"/>
  <c r="F113" i="26" s="1"/>
  <c r="R110" i="15"/>
  <c r="E114" i="26" s="1"/>
  <c r="R166" i="15"/>
  <c r="R112" i="15"/>
  <c r="R86" i="15"/>
  <c r="S111" i="15"/>
  <c r="S169" i="15"/>
  <c r="R165" i="15"/>
  <c r="Q140" i="15"/>
  <c r="Q167" i="15"/>
  <c r="K167" i="15" s="1"/>
  <c r="R193" i="15"/>
  <c r="Q83" i="15"/>
  <c r="S170" i="15"/>
  <c r="S114" i="15"/>
  <c r="S176" i="15"/>
  <c r="Q174" i="15"/>
  <c r="R219" i="15"/>
  <c r="R83" i="15"/>
  <c r="E113" i="26" s="1"/>
  <c r="P74" i="16"/>
  <c r="K74" i="16" s="1"/>
  <c r="R94" i="16"/>
  <c r="F40" i="26" s="1"/>
  <c r="Q94" i="16"/>
  <c r="E40" i="26" s="1"/>
  <c r="K194" i="15" l="1"/>
  <c r="F117" i="26"/>
  <c r="D148" i="26" s="1"/>
  <c r="K139" i="15"/>
  <c r="K192" i="15"/>
  <c r="D152" i="26"/>
  <c r="F152" i="26" s="1"/>
  <c r="K104" i="16"/>
  <c r="K101" i="16"/>
  <c r="K103" i="16"/>
  <c r="K102" i="16"/>
  <c r="I123" i="26"/>
  <c r="E148" i="26" s="1"/>
  <c r="K20" i="16"/>
  <c r="K24" i="16"/>
  <c r="K28" i="16"/>
  <c r="K23" i="16"/>
  <c r="K218" i="15"/>
  <c r="K219" i="15"/>
  <c r="K191" i="15"/>
  <c r="K193" i="15"/>
  <c r="K141" i="15"/>
  <c r="K164" i="15"/>
  <c r="K166" i="15"/>
  <c r="K165" i="15"/>
  <c r="K137" i="15"/>
  <c r="K111" i="15"/>
  <c r="Q157" i="15"/>
  <c r="D33" i="26" s="1"/>
  <c r="K140" i="15"/>
  <c r="K110" i="15"/>
  <c r="D113" i="26"/>
  <c r="K83" i="15"/>
  <c r="K103" i="15" s="1"/>
  <c r="F14" i="15" s="1"/>
  <c r="D112" i="26"/>
  <c r="K56" i="15"/>
  <c r="J123" i="26"/>
  <c r="E123" i="26"/>
  <c r="D120" i="26"/>
  <c r="R121" i="16"/>
  <c r="E41" i="26" s="1"/>
  <c r="S211" i="15"/>
  <c r="F35" i="26" s="1"/>
  <c r="D66" i="26" s="1"/>
  <c r="S121" i="16"/>
  <c r="I41" i="26" s="1"/>
  <c r="E66" i="26" s="1"/>
  <c r="D117" i="26"/>
  <c r="F120" i="26"/>
  <c r="E154" i="26" s="1"/>
  <c r="E117" i="26"/>
  <c r="E120" i="26"/>
  <c r="Q40" i="16"/>
  <c r="E38" i="26" s="1"/>
  <c r="Q121" i="16"/>
  <c r="D41" i="26" s="1"/>
  <c r="D123" i="26"/>
  <c r="P94" i="16"/>
  <c r="D40" i="26" s="1"/>
  <c r="G40" i="26" s="1"/>
  <c r="D122" i="26"/>
  <c r="G114" i="26"/>
  <c r="F116" i="26"/>
  <c r="G115" i="26"/>
  <c r="E116" i="26"/>
  <c r="D116" i="26"/>
  <c r="D118" i="26"/>
  <c r="E118" i="26"/>
  <c r="F118" i="26"/>
  <c r="S76" i="15"/>
  <c r="E30" i="26" s="1"/>
  <c r="E112" i="26"/>
  <c r="D144" i="26" s="1"/>
  <c r="T121" i="16"/>
  <c r="R76" i="15"/>
  <c r="D30" i="26" s="1"/>
  <c r="Q130" i="15"/>
  <c r="D32" i="26" s="1"/>
  <c r="R40" i="16"/>
  <c r="F38" i="26" s="1"/>
  <c r="E72" i="26" s="1"/>
  <c r="S157" i="15"/>
  <c r="F33" i="26" s="1"/>
  <c r="K94" i="16"/>
  <c r="F12" i="16" s="1"/>
  <c r="Q211" i="15"/>
  <c r="D35" i="26" s="1"/>
  <c r="S238" i="15"/>
  <c r="F36" i="26" s="1"/>
  <c r="Q238" i="15"/>
  <c r="D36" i="26" s="1"/>
  <c r="R157" i="15"/>
  <c r="E33" i="26" s="1"/>
  <c r="R238" i="15"/>
  <c r="E36" i="26" s="1"/>
  <c r="S130" i="15"/>
  <c r="F32" i="26" s="1"/>
  <c r="P40" i="16"/>
  <c r="D38" i="26" s="1"/>
  <c r="Q103" i="15"/>
  <c r="D31" i="26" s="1"/>
  <c r="R103" i="15"/>
  <c r="E31" i="26" s="1"/>
  <c r="Q184" i="15"/>
  <c r="D34" i="26" s="1"/>
  <c r="R211" i="15"/>
  <c r="E35" i="26" s="1"/>
  <c r="R184" i="15"/>
  <c r="E34" i="26" s="1"/>
  <c r="S103" i="15"/>
  <c r="F31" i="26" s="1"/>
  <c r="R130" i="15"/>
  <c r="E32" i="26" s="1"/>
  <c r="S184" i="15"/>
  <c r="F34" i="26" s="1"/>
  <c r="E124" i="26" l="1"/>
  <c r="F123" i="26"/>
  <c r="F124" i="26" s="1"/>
  <c r="K238" i="15"/>
  <c r="F19" i="15" s="1"/>
  <c r="D68" i="26"/>
  <c r="F68" i="26" s="1"/>
  <c r="D153" i="26"/>
  <c r="F153" i="26" s="1"/>
  <c r="F66" i="26"/>
  <c r="E151" i="26"/>
  <c r="F151" i="26" s="1"/>
  <c r="G113" i="26"/>
  <c r="D141" i="26"/>
  <c r="F141" i="26" s="1"/>
  <c r="D59" i="26"/>
  <c r="F59" i="26" s="1"/>
  <c r="D58" i="26"/>
  <c r="F58" i="26" s="1"/>
  <c r="D62" i="26"/>
  <c r="D71" i="26"/>
  <c r="F71" i="26" s="1"/>
  <c r="D150" i="26"/>
  <c r="F150" i="26" s="1"/>
  <c r="K211" i="15"/>
  <c r="F18" i="15" s="1"/>
  <c r="D70" i="26"/>
  <c r="F70" i="26" s="1"/>
  <c r="K130" i="15"/>
  <c r="F15" i="15" s="1"/>
  <c r="K184" i="15"/>
  <c r="F17" i="15" s="1"/>
  <c r="D124" i="26"/>
  <c r="F41" i="26"/>
  <c r="F42" i="26" s="1"/>
  <c r="K157" i="15"/>
  <c r="F16" i="15" s="1"/>
  <c r="E42" i="26"/>
  <c r="G117" i="26"/>
  <c r="G120" i="26"/>
  <c r="K121" i="16"/>
  <c r="D42" i="26"/>
  <c r="G38" i="26"/>
  <c r="F144" i="26"/>
  <c r="G122" i="26"/>
  <c r="F72" i="26"/>
  <c r="K76" i="15"/>
  <c r="F13" i="15" s="1"/>
  <c r="G30" i="26"/>
  <c r="G116" i="26"/>
  <c r="G112" i="26"/>
  <c r="G118" i="26"/>
  <c r="J41" i="26"/>
  <c r="G33" i="26"/>
  <c r="G31" i="26"/>
  <c r="G34" i="26"/>
  <c r="G36" i="26"/>
  <c r="G32" i="26"/>
  <c r="G35" i="26"/>
  <c r="K40" i="16"/>
  <c r="F10" i="16" s="1"/>
  <c r="G123" i="26" l="1"/>
  <c r="E155" i="26"/>
  <c r="E157" i="26" s="1"/>
  <c r="F154" i="26"/>
  <c r="E69" i="26"/>
  <c r="F69" i="26" s="1"/>
  <c r="F13" i="16"/>
  <c r="G41" i="26"/>
  <c r="F62" i="26"/>
  <c r="G42" i="26"/>
  <c r="D17" i="26" s="1"/>
  <c r="E73" i="26" l="1"/>
  <c r="E75" i="26" s="1"/>
  <c r="E17" i="26"/>
  <c r="G17" i="26"/>
  <c r="F17" i="26"/>
  <c r="C9" i="14" l="1"/>
  <c r="P29" i="15" l="1"/>
  <c r="S29" i="15" s="1"/>
  <c r="O29" i="15"/>
  <c r="G49" i="16"/>
  <c r="G61" i="16"/>
  <c r="G53" i="16"/>
  <c r="G62" i="16"/>
  <c r="G66" i="16"/>
  <c r="G59" i="16"/>
  <c r="G50" i="16"/>
  <c r="G47" i="16"/>
  <c r="G63" i="16"/>
  <c r="G56" i="16"/>
  <c r="G65" i="16"/>
  <c r="G57" i="16"/>
  <c r="G58" i="16"/>
  <c r="G55" i="16"/>
  <c r="G60" i="16"/>
  <c r="G54" i="16"/>
  <c r="G52" i="16"/>
  <c r="G48" i="16"/>
  <c r="G64" i="16"/>
  <c r="G51" i="16"/>
  <c r="N47" i="15"/>
  <c r="P47" i="15"/>
  <c r="G47" i="15"/>
  <c r="O47" i="15"/>
  <c r="G180" i="15"/>
  <c r="G201" i="15"/>
  <c r="G102" i="15"/>
  <c r="G98" i="15"/>
  <c r="G94" i="15"/>
  <c r="G90" i="15"/>
  <c r="G128" i="15"/>
  <c r="G124" i="15"/>
  <c r="G120" i="15"/>
  <c r="G116" i="15"/>
  <c r="G154" i="15"/>
  <c r="G150" i="15"/>
  <c r="G146" i="15"/>
  <c r="G183" i="15"/>
  <c r="G179" i="15"/>
  <c r="G200" i="15"/>
  <c r="G91" i="15"/>
  <c r="G117" i="15"/>
  <c r="G205" i="15"/>
  <c r="G101" i="15"/>
  <c r="G97" i="15"/>
  <c r="G93" i="15"/>
  <c r="G89" i="15"/>
  <c r="G127" i="15"/>
  <c r="G149" i="15"/>
  <c r="G178" i="15"/>
  <c r="G195" i="15"/>
  <c r="G99" i="15"/>
  <c r="G95" i="15"/>
  <c r="G125" i="15"/>
  <c r="N43" i="15"/>
  <c r="N46" i="15"/>
  <c r="P42" i="15"/>
  <c r="G38" i="15"/>
  <c r="O34" i="15"/>
  <c r="N39" i="15"/>
  <c r="N45" i="15"/>
  <c r="N41" i="15"/>
  <c r="N37" i="15"/>
  <c r="N35" i="15"/>
  <c r="N48" i="15"/>
  <c r="Q48" i="15" s="1"/>
  <c r="N44" i="15"/>
  <c r="N40" i="15"/>
  <c r="N36" i="15"/>
  <c r="G73" i="15"/>
  <c r="G72" i="15"/>
  <c r="G62" i="15"/>
  <c r="G63" i="15"/>
  <c r="G42" i="15"/>
  <c r="O39" i="15"/>
  <c r="O37" i="15"/>
  <c r="O35" i="15"/>
  <c r="O48" i="15"/>
  <c r="O40" i="15"/>
  <c r="O36" i="15"/>
  <c r="G70" i="15"/>
  <c r="G129" i="15"/>
  <c r="G121" i="15"/>
  <c r="G196" i="15"/>
  <c r="G207" i="15"/>
  <c r="G96" i="15"/>
  <c r="G156" i="15"/>
  <c r="G148" i="15"/>
  <c r="G43" i="15"/>
  <c r="G46" i="15"/>
  <c r="O42" i="15"/>
  <c r="N38" i="15"/>
  <c r="G34" i="15"/>
  <c r="G39" i="15"/>
  <c r="G45" i="15"/>
  <c r="G41" i="15"/>
  <c r="G37" i="15"/>
  <c r="G35" i="15"/>
  <c r="G48" i="15"/>
  <c r="G44" i="15"/>
  <c r="G40" i="15"/>
  <c r="G36" i="15"/>
  <c r="G69" i="15"/>
  <c r="G68" i="15"/>
  <c r="G75" i="15"/>
  <c r="G208" i="15"/>
  <c r="G119" i="15"/>
  <c r="G203" i="15"/>
  <c r="G197" i="15"/>
  <c r="G92" i="15"/>
  <c r="G88" i="15"/>
  <c r="G126" i="15"/>
  <c r="G122" i="15"/>
  <c r="G118" i="15"/>
  <c r="G152" i="15"/>
  <c r="G144" i="15"/>
  <c r="G181" i="15"/>
  <c r="G210" i="15"/>
  <c r="G206" i="15"/>
  <c r="G202" i="15"/>
  <c r="G198" i="15"/>
  <c r="P43" i="15"/>
  <c r="P46" i="15"/>
  <c r="N42" i="15"/>
  <c r="P38" i="15"/>
  <c r="N34" i="15"/>
  <c r="P39" i="15"/>
  <c r="P45" i="15"/>
  <c r="P41" i="15"/>
  <c r="P37" i="15"/>
  <c r="P35" i="15"/>
  <c r="P48" i="15"/>
  <c r="P44" i="15"/>
  <c r="P40" i="15"/>
  <c r="S40" i="15" s="1"/>
  <c r="P36" i="15"/>
  <c r="G74" i="15"/>
  <c r="G64" i="15"/>
  <c r="G71" i="15"/>
  <c r="G151" i="15"/>
  <c r="G204" i="15"/>
  <c r="G147" i="15"/>
  <c r="G123" i="15"/>
  <c r="G115" i="15"/>
  <c r="G153" i="15"/>
  <c r="G145" i="15"/>
  <c r="G182" i="15"/>
  <c r="G199" i="15"/>
  <c r="G155" i="15"/>
  <c r="G143" i="15"/>
  <c r="G209" i="15"/>
  <c r="G100" i="15"/>
  <c r="O43" i="15"/>
  <c r="O46" i="15"/>
  <c r="O38" i="15"/>
  <c r="P34" i="15"/>
  <c r="O45" i="15"/>
  <c r="O41" i="15"/>
  <c r="O44" i="15"/>
  <c r="G66" i="15"/>
  <c r="G65" i="15"/>
  <c r="G67" i="15"/>
  <c r="P31" i="15"/>
  <c r="P32" i="15"/>
  <c r="O30" i="15"/>
  <c r="R30" i="15" s="1"/>
  <c r="P33" i="15"/>
  <c r="S33" i="15" s="1"/>
  <c r="G29" i="15"/>
  <c r="O31" i="15"/>
  <c r="O32" i="15"/>
  <c r="N30" i="15"/>
  <c r="O33" i="15"/>
  <c r="N31" i="15"/>
  <c r="N29" i="15"/>
  <c r="N32" i="15"/>
  <c r="Q32" i="15" s="1"/>
  <c r="G30" i="15"/>
  <c r="N33" i="15"/>
  <c r="G31" i="15"/>
  <c r="G32" i="15"/>
  <c r="P30" i="15"/>
  <c r="G33" i="15"/>
  <c r="G168" i="15"/>
  <c r="G165" i="15"/>
  <c r="G111" i="15"/>
  <c r="G138" i="15"/>
  <c r="G173" i="15"/>
  <c r="G85" i="15"/>
  <c r="G112" i="15"/>
  <c r="G170" i="15"/>
  <c r="G194" i="15"/>
  <c r="G87" i="15"/>
  <c r="G83" i="15"/>
  <c r="G114" i="15"/>
  <c r="G110" i="15"/>
  <c r="G167" i="15"/>
  <c r="G174" i="15"/>
  <c r="G191" i="15"/>
  <c r="G59" i="15"/>
  <c r="G61" i="15"/>
  <c r="G86" i="15"/>
  <c r="G171" i="15"/>
  <c r="G169" i="15"/>
  <c r="G164" i="15"/>
  <c r="G113" i="15"/>
  <c r="G56" i="15"/>
  <c r="G57" i="15"/>
  <c r="G142" i="15"/>
  <c r="G141" i="15"/>
  <c r="G137" i="15"/>
  <c r="G192" i="15"/>
  <c r="G139" i="15"/>
  <c r="G140" i="15"/>
  <c r="G166" i="15"/>
  <c r="G60" i="15"/>
  <c r="G58" i="15"/>
  <c r="G177" i="15"/>
  <c r="G193" i="15"/>
  <c r="G176" i="15"/>
  <c r="G172" i="15"/>
  <c r="G175" i="15"/>
  <c r="G86" i="16"/>
  <c r="G93" i="16"/>
  <c r="G88" i="16"/>
  <c r="G233" i="15"/>
  <c r="G89" i="16"/>
  <c r="G85" i="16"/>
  <c r="G229" i="15"/>
  <c r="G220" i="15"/>
  <c r="G90" i="16"/>
  <c r="G219" i="15"/>
  <c r="G74" i="16"/>
  <c r="G230" i="15"/>
  <c r="G224" i="15"/>
  <c r="G222" i="15"/>
  <c r="G227" i="15"/>
  <c r="G232" i="15"/>
  <c r="G79" i="16"/>
  <c r="G226" i="15"/>
  <c r="G236" i="15"/>
  <c r="G81" i="16"/>
  <c r="G235" i="15"/>
  <c r="G91" i="16"/>
  <c r="G76" i="16"/>
  <c r="G77" i="16"/>
  <c r="G87" i="16"/>
  <c r="G228" i="15"/>
  <c r="G237" i="15"/>
  <c r="G83" i="16"/>
  <c r="G218" i="15"/>
  <c r="G75" i="16"/>
  <c r="G92" i="16"/>
  <c r="G82" i="16"/>
  <c r="G80" i="16"/>
  <c r="G223" i="15"/>
  <c r="G234" i="15"/>
  <c r="G221" i="15"/>
  <c r="G84" i="16"/>
  <c r="G78" i="16"/>
  <c r="G225" i="15"/>
  <c r="G231" i="15"/>
  <c r="Q40" i="15" l="1"/>
  <c r="S38" i="15"/>
  <c r="R29" i="15"/>
  <c r="E111" i="26" s="1"/>
  <c r="D145" i="26" s="1"/>
  <c r="S47" i="15"/>
  <c r="R47" i="15"/>
  <c r="Q47" i="15"/>
  <c r="Q39" i="15"/>
  <c r="Q34" i="15"/>
  <c r="S30" i="15"/>
  <c r="F111" i="26" s="1"/>
  <c r="D149" i="26" s="1"/>
  <c r="S36" i="15"/>
  <c r="Q42" i="15"/>
  <c r="Q30" i="15"/>
  <c r="Q46" i="15"/>
  <c r="R34" i="15"/>
  <c r="R40" i="15"/>
  <c r="Q44" i="15"/>
  <c r="Q29" i="15"/>
  <c r="D111" i="26" s="1"/>
  <c r="D139" i="26" s="1"/>
  <c r="S46" i="15"/>
  <c r="S32" i="15"/>
  <c r="S37" i="15"/>
  <c r="Q43" i="15"/>
  <c r="S39" i="15"/>
  <c r="R42" i="15"/>
  <c r="R39" i="15"/>
  <c r="S41" i="15"/>
  <c r="R46" i="15"/>
  <c r="Q33" i="15"/>
  <c r="S35" i="15"/>
  <c r="S45" i="15"/>
  <c r="R38" i="15"/>
  <c r="S34" i="15"/>
  <c r="R35" i="15"/>
  <c r="R31" i="15"/>
  <c r="R43" i="15"/>
  <c r="S43" i="15"/>
  <c r="Q41" i="15"/>
  <c r="R45" i="15"/>
  <c r="S48" i="15"/>
  <c r="R48" i="15"/>
  <c r="Q35" i="15"/>
  <c r="S31" i="15"/>
  <c r="Q45" i="15"/>
  <c r="Q31" i="15"/>
  <c r="R41" i="15"/>
  <c r="S42" i="15"/>
  <c r="R44" i="15"/>
  <c r="S44" i="15"/>
  <c r="Q38" i="15"/>
  <c r="R33" i="15"/>
  <c r="R32" i="15"/>
  <c r="R37" i="15"/>
  <c r="R36" i="15"/>
  <c r="Q37" i="15"/>
  <c r="Q36" i="15"/>
  <c r="L32" i="15" l="1"/>
  <c r="L30" i="15"/>
  <c r="L31" i="15"/>
  <c r="D119" i="26"/>
  <c r="L29" i="15"/>
  <c r="F119" i="26"/>
  <c r="F148" i="26" s="1"/>
  <c r="F149" i="26"/>
  <c r="F145" i="26"/>
  <c r="E119" i="26"/>
  <c r="S49" i="15"/>
  <c r="F29" i="26" s="1"/>
  <c r="Q49" i="15"/>
  <c r="D29" i="26" s="1"/>
  <c r="R49" i="15"/>
  <c r="E29" i="26" s="1"/>
  <c r="E37" i="26" l="1"/>
  <c r="D63" i="26"/>
  <c r="D37" i="26"/>
  <c r="D57" i="26"/>
  <c r="F37" i="26"/>
  <c r="D67" i="26"/>
  <c r="D73" i="26" s="1"/>
  <c r="F73" i="26" s="1"/>
  <c r="D142" i="26"/>
  <c r="G111" i="26"/>
  <c r="D155" i="26"/>
  <c r="F155" i="26" s="1"/>
  <c r="D146" i="26"/>
  <c r="F146" i="26" s="1"/>
  <c r="L49" i="15"/>
  <c r="F12" i="15" s="1"/>
  <c r="G29" i="26"/>
  <c r="G37" i="26" l="1"/>
  <c r="F139" i="26"/>
  <c r="F142" i="26"/>
  <c r="D157" i="26"/>
  <c r="F157" i="26" s="1"/>
  <c r="F67" i="26"/>
  <c r="F57" i="26"/>
  <c r="D60" i="26"/>
  <c r="F63" i="26"/>
  <c r="D64" i="26"/>
  <c r="F64" i="26" s="1"/>
  <c r="D75" i="26" l="1"/>
  <c r="F75" i="26" s="1"/>
  <c r="F60" i="26"/>
  <c r="D43" i="26"/>
  <c r="E43" i="26"/>
  <c r="F43" i="26"/>
  <c r="D16" i="26"/>
  <c r="F16" i="26" s="1"/>
  <c r="G43" i="26" l="1"/>
  <c r="D18" i="26"/>
  <c r="G18" i="26" s="1"/>
  <c r="E16" i="26"/>
  <c r="F18" i="26" l="1"/>
  <c r="E18" i="26"/>
  <c r="D125" i="26"/>
  <c r="F125" i="26"/>
  <c r="G119" i="26"/>
  <c r="D98" i="26" s="1"/>
  <c r="E98" i="26" s="1"/>
  <c r="F98" i="26" l="1"/>
  <c r="E125" i="26"/>
  <c r="G125" i="26" s="1"/>
  <c r="G124" i="26"/>
  <c r="D99" i="26" s="1"/>
  <c r="E99" i="26" s="1"/>
  <c r="D100" i="26" l="1"/>
  <c r="G99" i="26"/>
  <c r="F99" i="26"/>
  <c r="F100" i="26" l="1"/>
  <c r="E100" i="26"/>
  <c r="G100" i="2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<sst xmlns="http://schemas.openxmlformats.org/spreadsheetml/2006/main" count="3685" uniqueCount="573">
  <si>
    <t>Thema</t>
  </si>
  <si>
    <t>Bezeichnung</t>
  </si>
  <si>
    <t>Quelle Scope 1</t>
  </si>
  <si>
    <t>Quelle Scope 2</t>
  </si>
  <si>
    <t>Quelle Scope 3</t>
  </si>
  <si>
    <t>EF Scope 1
(kg CO2e/Einheit)</t>
  </si>
  <si>
    <t>EF Scope 2
(kg CO2e/Einheit)</t>
  </si>
  <si>
    <t>EF Scope 3
(kg CO2e/Einheit)</t>
  </si>
  <si>
    <t>Daten zur Einrichtung</t>
  </si>
  <si>
    <t>Daten zur CO2-Bilanz</t>
  </si>
  <si>
    <t>Bilanzjahr</t>
  </si>
  <si>
    <t>Name 1</t>
  </si>
  <si>
    <t>Name 2</t>
  </si>
  <si>
    <t>Name 3</t>
  </si>
  <si>
    <t>Wärme</t>
  </si>
  <si>
    <t>Fuhrpark</t>
  </si>
  <si>
    <t>Kühl- und Kältemittel</t>
  </si>
  <si>
    <t>Sektor</t>
  </si>
  <si>
    <t>Strom</t>
  </si>
  <si>
    <t>Mobilität</t>
  </si>
  <si>
    <t>Einkauf</t>
  </si>
  <si>
    <t>Geschäftsreisen</t>
  </si>
  <si>
    <t>Relevante Stoffströme</t>
  </si>
  <si>
    <t>IT-Dienstleistungen</t>
  </si>
  <si>
    <t>CO2-Bilanz erstellt von:</t>
  </si>
  <si>
    <t>Kommentar</t>
  </si>
  <si>
    <t>Holzpellets</t>
  </si>
  <si>
    <t>Solarthermie</t>
  </si>
  <si>
    <t>kWh</t>
  </si>
  <si>
    <t>L</t>
  </si>
  <si>
    <t>kg</t>
  </si>
  <si>
    <t>Benzin</t>
  </si>
  <si>
    <t>Diesel</t>
  </si>
  <si>
    <t>Autogas (LPG)</t>
  </si>
  <si>
    <t>Erdgas (CNG)</t>
  </si>
  <si>
    <t>Reisebus</t>
  </si>
  <si>
    <t>ÖPNV</t>
  </si>
  <si>
    <t>Bahn Fernverkehr</t>
  </si>
  <si>
    <t>PKW</t>
  </si>
  <si>
    <t>Pkm</t>
  </si>
  <si>
    <t>tkm</t>
  </si>
  <si>
    <t>Stück</t>
  </si>
  <si>
    <t>Cloud Storage</t>
  </si>
  <si>
    <t>GB</t>
  </si>
  <si>
    <t>Theater-, Opern- und Konzerthäuser</t>
  </si>
  <si>
    <t>Museen, Galerien und Ausstellungsbetriebe</t>
  </si>
  <si>
    <t>Bibliotheken, Archive</t>
  </si>
  <si>
    <t>Veranstaltungshäuser und Kinos</t>
  </si>
  <si>
    <t>Sparten</t>
  </si>
  <si>
    <t>Bitte auswählen</t>
  </si>
  <si>
    <t>Sonstiges</t>
  </si>
  <si>
    <t>Sektor_Thema</t>
  </si>
  <si>
    <t>IT_Dienstleistungen</t>
  </si>
  <si>
    <t>Relevante_Stoffströme</t>
  </si>
  <si>
    <t>Kühl_und_Kältemittel</t>
  </si>
  <si>
    <t>Emissionsfaktoren - Emissionsquellen</t>
  </si>
  <si>
    <t>niedrig (Schätzung)</t>
  </si>
  <si>
    <t>mittel (Berechnung)</t>
  </si>
  <si>
    <t>hoch (Messung)</t>
  </si>
  <si>
    <t>Erfassungseinheit</t>
  </si>
  <si>
    <t>Straße: LKW &lt;7,5 t</t>
  </si>
  <si>
    <t>Schiene: Zug mit Elektrotraktion</t>
  </si>
  <si>
    <t>Schiene: Zug mit Dieseltraktion</t>
  </si>
  <si>
    <t>See: Containerschiff</t>
  </si>
  <si>
    <t>See: Massengutfrachter</t>
  </si>
  <si>
    <t>Luft: Frachtflugzeug</t>
  </si>
  <si>
    <t>Luft: Belly-Fracht</t>
  </si>
  <si>
    <t>Straße: LKW 7,5-12 t</t>
  </si>
  <si>
    <t>Straße: LKW 12-24 t</t>
  </si>
  <si>
    <t>kg CO2e</t>
  </si>
  <si>
    <t>Fernwärme (Wert Energieversorger)</t>
  </si>
  <si>
    <t>Emissionsquelle/Aktivität (Dropdown)</t>
  </si>
  <si>
    <t>Wert 
(Zahl)</t>
  </si>
  <si>
    <t>Liegenschaften</t>
  </si>
  <si>
    <t>Pendeln der Mitarbeitenden</t>
  </si>
  <si>
    <t>Anreise der Besuchenden</t>
  </si>
  <si>
    <t>Pendeln_Mitarbeitende</t>
  </si>
  <si>
    <t>Warentransporte</t>
  </si>
  <si>
    <t>Anreise_Besuchende</t>
  </si>
  <si>
    <t>Thema_</t>
  </si>
  <si>
    <t>Notiz - Datenquelle 
(Text)</t>
  </si>
  <si>
    <t>Notiz - Kommentar 
(Text)</t>
  </si>
  <si>
    <t>Heizöl (in kWh)</t>
  </si>
  <si>
    <t>Heizöl (in L)</t>
  </si>
  <si>
    <t>Einheit 
(vorausgefüllt)</t>
  </si>
  <si>
    <t>Hinweis: Um weitere Emissionsquellen/Aktivitäten hinzuzufügen, markieren Sie die gesamte letzte Tabellenzeile und fügen Sie weitere Zeilen ein (Menüband: Start -&gt; Zellen -&gt; Einfügen)</t>
  </si>
  <si>
    <t>Zurück zur Übersicht</t>
  </si>
  <si>
    <t>Scope 1 Emissionsfaktor [kg CO2e/Einheit]</t>
  </si>
  <si>
    <t>Scope 3 Emissionsfaktor [kg CO2e/Einheit]</t>
  </si>
  <si>
    <t>Scope 2 Emissionsfaktor [kg CO2e/Einheit]</t>
  </si>
  <si>
    <t>Scope 3 Ergebnis location-based [kg CO2e]</t>
  </si>
  <si>
    <t>Scope 2 Ergebnis location-based [kg CO2e]</t>
  </si>
  <si>
    <t>Scope 1 Ergebnis location-based [kg CO2e]</t>
  </si>
  <si>
    <t>Hinweis:</t>
  </si>
  <si>
    <t>zu Fuß/Fahrrad</t>
  </si>
  <si>
    <t>Strom (externes Laden)</t>
  </si>
  <si>
    <t>Abfall</t>
  </si>
  <si>
    <t>Kat. 1</t>
  </si>
  <si>
    <t>Kat. 2</t>
  </si>
  <si>
    <t>Kat. 3</t>
  </si>
  <si>
    <t>Kat. 4</t>
  </si>
  <si>
    <t>Kat. 5</t>
  </si>
  <si>
    <t>Kat. 6</t>
  </si>
  <si>
    <t>Kat. 7</t>
  </si>
  <si>
    <t>Kat. 9</t>
  </si>
  <si>
    <t>Emissionen aus stationärer Verbrennung</t>
  </si>
  <si>
    <t>Emissionen aus mobiler Verbrennung</t>
  </si>
  <si>
    <t>Emissionen aus Verflüchtigungen</t>
  </si>
  <si>
    <t>Emissionen aus zugekauftem und verbrauchtem Strom</t>
  </si>
  <si>
    <t>Emissionen aus weiterer zugekaufter Energie (Wärme, Kälte, Dampf, Wasser)</t>
  </si>
  <si>
    <t>Eingekaufte Waren und Dienstleistungen</t>
  </si>
  <si>
    <t>Brennstoff und energiebezogene Emissionen (nicht in Scope 1 und 2 enthalten)</t>
  </si>
  <si>
    <t>Transport und Verteilung (vorgelagert)</t>
  </si>
  <si>
    <t>Transport und Verteilung (nachgelagert)</t>
  </si>
  <si>
    <t>Scope 1: Direkte Emissionen</t>
  </si>
  <si>
    <t>Scope 2: Indirekte Emissionen aus bereitgestellter Energie</t>
  </si>
  <si>
    <t>Scope 3: Weitere indirekte Emissionen</t>
  </si>
  <si>
    <t>Gesamtergebnis</t>
  </si>
  <si>
    <t>Strom Eigenerzeugung (Photovoltaik)</t>
  </si>
  <si>
    <t>Lfd. Nr.</t>
  </si>
  <si>
    <t>Hintergrund und Ziel</t>
  </si>
  <si>
    <t>Versionsverlauf</t>
  </si>
  <si>
    <t>Hotel (Durchschnitt, Deutschland)</t>
  </si>
  <si>
    <t>Hotel (Durchschnitt, International)</t>
  </si>
  <si>
    <t>Emissionsfaktoren Stoffströme</t>
  </si>
  <si>
    <t>Emissionsfaktoren Allgemein</t>
  </si>
  <si>
    <t>EF Scope 3.1 Einkauf
(kg CO2e/Einheit)</t>
  </si>
  <si>
    <t>EF Scope 3.5 Abfall
(kg CO2e/Einheit)</t>
  </si>
  <si>
    <t>Quelle Scope 3.5</t>
  </si>
  <si>
    <t>Quelle Scope 3.1</t>
  </si>
  <si>
    <t>Bücher (kg)</t>
  </si>
  <si>
    <t>CDs (kg)</t>
  </si>
  <si>
    <t>DVDs (kg)</t>
  </si>
  <si>
    <t>.</t>
  </si>
  <si>
    <t>Werte vorhanden? (vorausgefüllt)</t>
  </si>
  <si>
    <t>Datenqualität Wert (Dropdown)</t>
  </si>
  <si>
    <t>Scope 1 Zuordnung</t>
  </si>
  <si>
    <t>Scope 2 Zuordnung</t>
  </si>
  <si>
    <t>Scope 3 Zuordnung</t>
  </si>
  <si>
    <t>Scope 3 Zuordnung 2</t>
  </si>
  <si>
    <t>-</t>
  </si>
  <si>
    <t>Diesel-Notstromaggregat</t>
  </si>
  <si>
    <t>Stammdaten</t>
  </si>
  <si>
    <t>Strombezug (Strommix Deutschland)</t>
  </si>
  <si>
    <t>Externe</t>
  </si>
  <si>
    <t>Extern ermittelte Emissionen</t>
  </si>
  <si>
    <t>DD_Thema_2</t>
  </si>
  <si>
    <t>Themenzuordnung auswählen!</t>
  </si>
  <si>
    <t>Zuordnung Sektoren und Themen</t>
  </si>
  <si>
    <t>Übersicht Emissionsfaktoren</t>
  </si>
  <si>
    <t>CFC-12</t>
  </si>
  <si>
    <t>HCFC-123</t>
  </si>
  <si>
    <t>HCFC-22</t>
  </si>
  <si>
    <t>HFC-125</t>
  </si>
  <si>
    <t>HFC-134a</t>
  </si>
  <si>
    <t>HFC-143a</t>
  </si>
  <si>
    <t>HFC-227ea</t>
  </si>
  <si>
    <t>HFC-23</t>
  </si>
  <si>
    <t>HFC-32</t>
  </si>
  <si>
    <t>HFO-1234yf</t>
  </si>
  <si>
    <t>HFO-1234ze(Z)</t>
  </si>
  <si>
    <t>R1150 (Ethen)</t>
  </si>
  <si>
    <t>R1270 (Propen)</t>
  </si>
  <si>
    <t>R170 (Ethan)</t>
  </si>
  <si>
    <t>R290 (Propan)</t>
  </si>
  <si>
    <t>R600a (Isobutan)</t>
  </si>
  <si>
    <t>R717 (Ammoniak)</t>
  </si>
  <si>
    <t>R744 (Kohlenstoffdioxid)</t>
  </si>
  <si>
    <t>PFC-116</t>
  </si>
  <si>
    <t>R401A</t>
  </si>
  <si>
    <t>R401B</t>
  </si>
  <si>
    <t>R402A</t>
  </si>
  <si>
    <t>R402B</t>
  </si>
  <si>
    <t>R404A</t>
  </si>
  <si>
    <t>R407A</t>
  </si>
  <si>
    <t>R407C</t>
  </si>
  <si>
    <t>R407F</t>
  </si>
  <si>
    <t>R408A</t>
  </si>
  <si>
    <t>R409A</t>
  </si>
  <si>
    <t>R410A</t>
  </si>
  <si>
    <t>R417A</t>
  </si>
  <si>
    <t>R422A</t>
  </si>
  <si>
    <t>R422D</t>
  </si>
  <si>
    <t>R423A</t>
  </si>
  <si>
    <t>R424A</t>
  </si>
  <si>
    <t>R427A</t>
  </si>
  <si>
    <t>R428A</t>
  </si>
  <si>
    <t>R434A</t>
  </si>
  <si>
    <t>R437A</t>
  </si>
  <si>
    <t>R438A</t>
  </si>
  <si>
    <t>R442A</t>
  </si>
  <si>
    <t>R502</t>
  </si>
  <si>
    <t>R507A / R507</t>
  </si>
  <si>
    <t>R508B</t>
  </si>
  <si>
    <t>Vermeidungsfaktor [kg CO2e/Einheit]</t>
  </si>
  <si>
    <t>Übernachtungen</t>
  </si>
  <si>
    <t>Mitarbeitende</t>
  </si>
  <si>
    <r>
      <t>Nettogrundfläche (m</t>
    </r>
    <r>
      <rPr>
        <b/>
        <vertAlign val="superscript"/>
        <sz val="11"/>
        <color theme="1"/>
        <rFont val="Calibri"/>
        <family val="2"/>
        <scheme val="minor"/>
      </rPr>
      <t>2</t>
    </r>
    <r>
      <rPr>
        <b/>
        <sz val="11"/>
        <color theme="1"/>
        <rFont val="Calibri"/>
        <family val="2"/>
        <scheme val="minor"/>
      </rPr>
      <t>)</t>
    </r>
  </si>
  <si>
    <t>Allgemeine Hinweise zur Verwendung des Tools</t>
  </si>
  <si>
    <t>Datenerfassung Beyond Carbon</t>
  </si>
  <si>
    <t>Verkehrsmittel (Dropdown)</t>
  </si>
  <si>
    <t>Besucheranzahl</t>
  </si>
  <si>
    <t>Datenqualität (Dropdown)</t>
  </si>
  <si>
    <t>Scope 3.1 Ergebnis location-based [kg CO2e]</t>
  </si>
  <si>
    <t>Scope 3.5 Emissionsfaktor [kg CO2e/Einheit]</t>
  </si>
  <si>
    <t>Scope 3.1 Emissionsfaktor [kg CO2e/Einheit]</t>
  </si>
  <si>
    <t>Scope 3.5 Ergebnis location-based [kg CO2e]</t>
  </si>
  <si>
    <t>Anzahl der Mitarbeitenden (Personen)</t>
  </si>
  <si>
    <t>Gliederung der Bilanz</t>
  </si>
  <si>
    <t>Gliederungselemente</t>
  </si>
  <si>
    <t>Bezeichnung Gliederungselement</t>
  </si>
  <si>
    <t>Anzahl der Mitarbeitenden (Personen) (optional)</t>
  </si>
  <si>
    <t>Adresse (optional)</t>
  </si>
  <si>
    <t>Systemgrenze</t>
  </si>
  <si>
    <t>Zuordnung Gliederungselement (Dropdown)</t>
  </si>
  <si>
    <t>Vollständig erfasst?
(Bitte ankreuzen)</t>
  </si>
  <si>
    <t>Übersicht Datenerfassung</t>
  </si>
  <si>
    <t>Papierverbrauch Büro</t>
  </si>
  <si>
    <t>Verpackungsmaterialien</t>
  </si>
  <si>
    <t>Papierverbrauch 
(Anzahl Blatt Papier)</t>
  </si>
  <si>
    <t>Druck- und Werbematerialien</t>
  </si>
  <si>
    <t>Wasserverbrauch</t>
  </si>
  <si>
    <r>
      <t>Wasserverbrauch (m</t>
    </r>
    <r>
      <rPr>
        <b/>
        <vertAlign val="superscript"/>
        <sz val="11"/>
        <color theme="1"/>
        <rFont val="Calibri"/>
        <family val="2"/>
        <scheme val="minor"/>
      </rPr>
      <t>3</t>
    </r>
    <r>
      <rPr>
        <b/>
        <sz val="11"/>
        <color theme="1"/>
        <rFont val="Calibri"/>
        <family val="2"/>
        <scheme val="minor"/>
      </rPr>
      <t>)</t>
    </r>
  </si>
  <si>
    <t>Hinweis: Um weitere Zeilen hinzuzufügen, markieren Sie die gesamte letzte Tabellenzeile und fügen Sie weitere Zeilen ein (Menüband: Start -&gt; Zellen -&gt; Einfügen)</t>
  </si>
  <si>
    <t>See: Binnenschiff</t>
  </si>
  <si>
    <t>Beyond Carbon</t>
  </si>
  <si>
    <t>Summe</t>
  </si>
  <si>
    <t>Einheit</t>
  </si>
  <si>
    <t>DD_Sparten</t>
  </si>
  <si>
    <t>DD_Datenqualität</t>
  </si>
  <si>
    <t>Haben Sie Daten zu Beyond Carbon erfasst?</t>
  </si>
  <si>
    <t>ja</t>
  </si>
  <si>
    <t>nein</t>
  </si>
  <si>
    <t>DD_ja_nein</t>
  </si>
  <si>
    <t>Teilergebnis</t>
  </si>
  <si>
    <t>Scope 3.1</t>
  </si>
  <si>
    <t>Scope 3.5</t>
  </si>
  <si>
    <t>Allgemeine Hinweise zur Erfassung:</t>
  </si>
  <si>
    <t>Bitte erfassen Sie hier die jährliche Summe der Personenkilometer je Verkehrsmittel für das Pendeln der eigenen Mitarbeitenden zwischen dem Wohnort und der Arbeitsstätte (Hin- und Rückfahrt) in Fahrzeugen, die nicht durch Ihre Einrichtung betrieben werden. Sollten keine belastbaren Daten vorliegen, können Sie die Emissionen über eine Anfahrtswegpauschale anhand der Anzahl der Mitarbeitenden abschätzen.</t>
  </si>
  <si>
    <t>Erfassen Sie hier bitte den Verbrauch an Büropapier im Bezugsjahr (Anzahl Blatt Papier).</t>
  </si>
  <si>
    <t>Score</t>
  </si>
  <si>
    <t>Thema_Bezeichung</t>
  </si>
  <si>
    <t>Medien</t>
  </si>
  <si>
    <r>
      <t>Ergebnis [kg CO</t>
    </r>
    <r>
      <rPr>
        <b/>
        <vertAlign val="subscript"/>
        <sz val="11"/>
        <color theme="1"/>
        <rFont val="Calibri"/>
        <family val="2"/>
        <scheme val="minor"/>
      </rPr>
      <t>2</t>
    </r>
    <r>
      <rPr>
        <b/>
        <sz val="11"/>
        <color theme="1"/>
        <rFont val="Calibri"/>
        <family val="2"/>
        <scheme val="minor"/>
      </rPr>
      <t>e] (vorausgefüllt)</t>
    </r>
  </si>
  <si>
    <t>Scope 1.1</t>
  </si>
  <si>
    <t>Scope 2.2</t>
  </si>
  <si>
    <t>Scope 1.2</t>
  </si>
  <si>
    <t>Scope 1.4</t>
  </si>
  <si>
    <t>Scope 2.1</t>
  </si>
  <si>
    <t>Scope 3.3</t>
  </si>
  <si>
    <t>Scope 3.4</t>
  </si>
  <si>
    <t>Scope 3.6</t>
  </si>
  <si>
    <t>Scope 3.7</t>
  </si>
  <si>
    <t>Scope 3.9</t>
  </si>
  <si>
    <t>Scope 1.1: Emissionen aus stationärer Verbrennung</t>
  </si>
  <si>
    <t>Scope 1.2: Emissionen aus mobiler Verbrennung</t>
  </si>
  <si>
    <t>Scope 1.4: Emissionen aus Verflüchtigungen</t>
  </si>
  <si>
    <t>Scope 3.1: Eingekaufte Waren und Dienstleistungen</t>
  </si>
  <si>
    <t>Scope 3.4: Transport und Verteilung (vorgelagert)</t>
  </si>
  <si>
    <t>Scope 3.5: Abfall</t>
  </si>
  <si>
    <t>Scope 3.6: Geschäftsreisen</t>
  </si>
  <si>
    <t>Scope 3.9: Transport und Verteilung (nachgelagert)</t>
  </si>
  <si>
    <t>Scope 2.1: Emissionen aus zugekauftem und 
verbrauchtem Strom</t>
  </si>
  <si>
    <t>Scope 2.2: Emissionen aus weiterer zugekaufter Energie 
(Wärme, Kälte, Dampf, Wasser)</t>
  </si>
  <si>
    <t>Scope 3.3: Brennstoff und energiebezogene Emissionen 
(nicht in Scope 1 und 2 enthalten)</t>
  </si>
  <si>
    <t>Scope 1</t>
  </si>
  <si>
    <t>Scope 2</t>
  </si>
  <si>
    <t>Scope 3</t>
  </si>
  <si>
    <t>Systemgrenzen der Treibhausgasbilanz von Kultureinrichtungen</t>
  </si>
  <si>
    <t>kWh (Brennwert)</t>
  </si>
  <si>
    <t>kWh (Heizwert)</t>
  </si>
  <si>
    <t>Anfahrtswegpauschale</t>
  </si>
  <si>
    <t>Bücher (Stück)</t>
  </si>
  <si>
    <t>CDs (Stück)</t>
  </si>
  <si>
    <t>DVDs (Stück)</t>
  </si>
  <si>
    <t>F84</t>
  </si>
  <si>
    <t>F111</t>
  </si>
  <si>
    <t>F138</t>
  </si>
  <si>
    <t>F165</t>
  </si>
  <si>
    <t>F192</t>
  </si>
  <si>
    <t>F219</t>
  </si>
  <si>
    <t>B19</t>
  </si>
  <si>
    <t>B46</t>
  </si>
  <si>
    <t>B73</t>
  </si>
  <si>
    <t>D20</t>
  </si>
  <si>
    <t>D47</t>
  </si>
  <si>
    <t>D74</t>
  </si>
  <si>
    <t>D101</t>
  </si>
  <si>
    <t>Climate Handprint durch Strom-Eigenerzeugung aus Photovoltaik</t>
  </si>
  <si>
    <t>Vermiedene Emissionen [kg CO2e]</t>
  </si>
  <si>
    <t>Vermiedene Treibhausgasemissionen</t>
  </si>
  <si>
    <r>
      <t>t CO</t>
    </r>
    <r>
      <rPr>
        <b/>
        <vertAlign val="subscript"/>
        <sz val="12"/>
        <rFont val="Calibri"/>
        <family val="2"/>
        <scheme val="minor"/>
      </rPr>
      <t>2</t>
    </r>
    <r>
      <rPr>
        <b/>
        <sz val="12"/>
        <rFont val="Calibri"/>
        <family val="2"/>
        <scheme val="minor"/>
      </rPr>
      <t>e</t>
    </r>
  </si>
  <si>
    <t>Ergebnisse</t>
  </si>
  <si>
    <t>Emissionsfaktoren</t>
  </si>
  <si>
    <t>Farb- und Formatierungscode</t>
  </si>
  <si>
    <t xml:space="preserve"> Infokästen und Erfassungshinweise</t>
  </si>
  <si>
    <r>
      <rPr>
        <b/>
        <sz val="11"/>
        <color theme="1"/>
        <rFont val="Calibri"/>
        <family val="2"/>
        <scheme val="minor"/>
      </rPr>
      <t>2. Datenerfassung</t>
    </r>
    <r>
      <rPr>
        <sz val="11"/>
        <color theme="1"/>
        <rFont val="Calibri"/>
        <family val="2"/>
        <scheme val="minor"/>
      </rPr>
      <t xml:space="preserve"> - Insbesondere im Bereich der Datenerfassung gibt es Infokästen und Erfassungshinweise:</t>
    </r>
  </si>
  <si>
    <t>Schraffierte Zellen und Flächen sind bei der Erfassung zu ignorieren. Tragen Sie hier keine Werte ein.</t>
  </si>
  <si>
    <t xml:space="preserve">Kurzanleitung </t>
  </si>
  <si>
    <t xml:space="preserve">1. </t>
  </si>
  <si>
    <t xml:space="preserve">2. </t>
  </si>
  <si>
    <t xml:space="preserve">3. </t>
  </si>
  <si>
    <t xml:space="preserve">3a. </t>
  </si>
  <si>
    <t xml:space="preserve">3b. </t>
  </si>
  <si>
    <t xml:space="preserve">4. </t>
  </si>
  <si>
    <t>Tragen Sie die Stammdaten Ihrer Einrichtung ein.</t>
  </si>
  <si>
    <t>Version</t>
  </si>
  <si>
    <t>Datum</t>
  </si>
  <si>
    <t>ggf. Änderungen</t>
  </si>
  <si>
    <t>Link zum Tabellenblatt</t>
  </si>
  <si>
    <t>Summe aller Gliederungselemente</t>
  </si>
  <si>
    <t>Teilergebnisse einzelner Gliederungselemente</t>
  </si>
  <si>
    <t>Hinweis: Um weitere Gliederungselemente hinzuzufügen, markieren Sie die gesamte letzte Tabellenzeile und fügen Sie weitere Zeilen ein 
(Menüband: Start -&gt; Zellen -&gt; Einfügen). Nicht benötigte Zellen können Sie der Übersichtlichkeit halber löschen.</t>
  </si>
  <si>
    <t>Flug (Inland)</t>
  </si>
  <si>
    <t>Scope 1 Kategorie</t>
  </si>
  <si>
    <t>Scope 2 Kategorie</t>
  </si>
  <si>
    <t>Scope 3 Kategorie</t>
  </si>
  <si>
    <t>Scope 3 Kategorie 2</t>
  </si>
  <si>
    <t>$F$30</t>
  </si>
  <si>
    <t>$F$57</t>
  </si>
  <si>
    <r>
      <t>m</t>
    </r>
    <r>
      <rPr>
        <vertAlign val="superscript"/>
        <sz val="11"/>
        <color theme="1"/>
        <rFont val="Calibri"/>
        <family val="2"/>
        <scheme val="minor"/>
      </rPr>
      <t>3</t>
    </r>
  </si>
  <si>
    <r>
      <t>Fernwärme Eigenfaktor Scope 2
[kg CO</t>
    </r>
    <r>
      <rPr>
        <b/>
        <vertAlign val="subscript"/>
        <sz val="11"/>
        <rFont val="Calibri"/>
        <family val="2"/>
        <scheme val="minor"/>
      </rPr>
      <t>2</t>
    </r>
    <r>
      <rPr>
        <b/>
        <sz val="11"/>
        <rFont val="Calibri"/>
        <family val="2"/>
        <scheme val="minor"/>
      </rPr>
      <t>e/kWh]
(falls zutreffend)</t>
    </r>
  </si>
  <si>
    <r>
      <t>Ergebnis [kg CO</t>
    </r>
    <r>
      <rPr>
        <b/>
        <vertAlign val="subscript"/>
        <sz val="11"/>
        <rFont val="Calibri"/>
        <family val="2"/>
        <scheme val="minor"/>
      </rPr>
      <t>2</t>
    </r>
    <r>
      <rPr>
        <b/>
        <sz val="11"/>
        <rFont val="Calibri"/>
        <family val="2"/>
        <scheme val="minor"/>
      </rPr>
      <t>e] (vorausgefüllt)</t>
    </r>
  </si>
  <si>
    <r>
      <t>Gesamtemissionen [t CO</t>
    </r>
    <r>
      <rPr>
        <b/>
        <vertAlign val="subscript"/>
        <sz val="11"/>
        <rFont val="Calibri"/>
        <family val="2"/>
        <scheme val="minor"/>
      </rPr>
      <t>2</t>
    </r>
    <r>
      <rPr>
        <b/>
        <sz val="11"/>
        <rFont val="Calibri"/>
        <family val="2"/>
        <scheme val="minor"/>
      </rPr>
      <t>e]</t>
    </r>
  </si>
  <si>
    <r>
      <t>Emissionen pro m</t>
    </r>
    <r>
      <rPr>
        <b/>
        <vertAlign val="superscript"/>
        <sz val="11"/>
        <rFont val="Calibri"/>
        <family val="2"/>
        <scheme val="minor"/>
      </rPr>
      <t>2</t>
    </r>
    <r>
      <rPr>
        <b/>
        <sz val="11"/>
        <rFont val="Calibri"/>
        <family val="2"/>
        <scheme val="minor"/>
      </rPr>
      <t xml:space="preserve"> [kg CO</t>
    </r>
    <r>
      <rPr>
        <b/>
        <vertAlign val="subscript"/>
        <sz val="11"/>
        <rFont val="Calibri"/>
        <family val="2"/>
        <scheme val="minor"/>
      </rPr>
      <t>2</t>
    </r>
    <r>
      <rPr>
        <b/>
        <sz val="11"/>
        <rFont val="Calibri"/>
        <family val="2"/>
        <scheme val="minor"/>
      </rPr>
      <t>e]</t>
    </r>
  </si>
  <si>
    <r>
      <t>Emissionen Scope 1
[t CO</t>
    </r>
    <r>
      <rPr>
        <b/>
        <vertAlign val="subscript"/>
        <sz val="11"/>
        <rFont val="Calibri"/>
        <family val="2"/>
        <scheme val="minor"/>
      </rPr>
      <t>2</t>
    </r>
    <r>
      <rPr>
        <b/>
        <sz val="11"/>
        <rFont val="Calibri"/>
        <family val="2"/>
        <scheme val="minor"/>
      </rPr>
      <t>e]</t>
    </r>
  </si>
  <si>
    <r>
      <t>Emissionen Scope 2
[t CO</t>
    </r>
    <r>
      <rPr>
        <b/>
        <vertAlign val="subscript"/>
        <sz val="11"/>
        <rFont val="Calibri"/>
        <family val="2"/>
        <scheme val="minor"/>
      </rPr>
      <t>2</t>
    </r>
    <r>
      <rPr>
        <b/>
        <sz val="11"/>
        <rFont val="Calibri"/>
        <family val="2"/>
        <scheme val="minor"/>
      </rPr>
      <t>e]</t>
    </r>
  </si>
  <si>
    <r>
      <t>Emissionen Scope 3
[t CO</t>
    </r>
    <r>
      <rPr>
        <b/>
        <vertAlign val="subscript"/>
        <sz val="11"/>
        <rFont val="Calibri"/>
        <family val="2"/>
        <scheme val="minor"/>
      </rPr>
      <t>2</t>
    </r>
    <r>
      <rPr>
        <b/>
        <sz val="11"/>
        <rFont val="Calibri"/>
        <family val="2"/>
        <scheme val="minor"/>
      </rPr>
      <t>e]</t>
    </r>
  </si>
  <si>
    <r>
      <t>Summe Scope 1-3 
[t CO</t>
    </r>
    <r>
      <rPr>
        <b/>
        <vertAlign val="subscript"/>
        <sz val="11"/>
        <rFont val="Calibri"/>
        <family val="2"/>
        <scheme val="minor"/>
      </rPr>
      <t>2</t>
    </r>
    <r>
      <rPr>
        <b/>
        <sz val="11"/>
        <rFont val="Calibri"/>
        <family val="2"/>
        <scheme val="minor"/>
      </rPr>
      <t>e]</t>
    </r>
  </si>
  <si>
    <r>
      <t>Emissionen Kernbilanz 
[t CO</t>
    </r>
    <r>
      <rPr>
        <b/>
        <vertAlign val="subscript"/>
        <sz val="11"/>
        <rFont val="Calibri"/>
        <family val="2"/>
        <scheme val="minor"/>
      </rPr>
      <t>2</t>
    </r>
    <r>
      <rPr>
        <b/>
        <sz val="11"/>
        <rFont val="Calibri"/>
        <family val="2"/>
        <scheme val="minor"/>
      </rPr>
      <t>e]</t>
    </r>
  </si>
  <si>
    <r>
      <t>Emissionen Erweiterte Bilanz 
[t CO</t>
    </r>
    <r>
      <rPr>
        <b/>
        <vertAlign val="subscript"/>
        <sz val="11"/>
        <rFont val="Calibri"/>
        <family val="2"/>
        <scheme val="minor"/>
      </rPr>
      <t>2</t>
    </r>
    <r>
      <rPr>
        <b/>
        <sz val="11"/>
        <rFont val="Calibri"/>
        <family val="2"/>
        <scheme val="minor"/>
      </rPr>
      <t>e]</t>
    </r>
  </si>
  <si>
    <r>
      <t>Summe Kernbilanz + Erweiterte Bilanz 
[t CO</t>
    </r>
    <r>
      <rPr>
        <b/>
        <vertAlign val="subscript"/>
        <sz val="11"/>
        <rFont val="Calibri"/>
        <family val="2"/>
        <scheme val="minor"/>
      </rPr>
      <t>2</t>
    </r>
    <r>
      <rPr>
        <b/>
        <sz val="11"/>
        <rFont val="Calibri"/>
        <family val="2"/>
        <scheme val="minor"/>
      </rPr>
      <t>e]</t>
    </r>
  </si>
  <si>
    <t>Flug (innereuropäisch)</t>
  </si>
  <si>
    <t>Flug (international)</t>
  </si>
  <si>
    <t>Fernwärme (fossiler Mix DE)</t>
  </si>
  <si>
    <t>Druck- und Werbematerialien
(Kilogramm)</t>
  </si>
  <si>
    <t>Vepackungsmaterialien 
(Kilogramm)</t>
  </si>
  <si>
    <t>Straße: Last-/Sattelzug 24-40 t</t>
  </si>
  <si>
    <t>Anleitung</t>
  </si>
  <si>
    <t>Einkauf Medien</t>
  </si>
  <si>
    <t>Einkauf/Abfall</t>
  </si>
  <si>
    <t>Erfassen Sie hier die Masse der im Bezugsjahr gedruckten Druck- und Werbematerialien in Kilogramm.</t>
  </si>
  <si>
    <t>Erfassen Sie hier die Masse der im Bezugsjahr verbrauchten Verpackungsmaterialien (z.B. Kartonage, Kunststofffolie, etc.) in Kilogramm.</t>
  </si>
  <si>
    <t>Datenerfassung Basisdaten (Stammdaten, Gliederung der Bilanz)</t>
  </si>
  <si>
    <t>kursive Schrift 
(mit oder ohne blauen Rahmen)</t>
  </si>
  <si>
    <t>1. KlimaBilanzKultur (verpflichtend):</t>
  </si>
  <si>
    <t>Datenerfassung KlimaBilanzKultur</t>
  </si>
  <si>
    <t>Erfassen Sie die Daten zur Ermittlung der KlimaBilanzKultur.</t>
  </si>
  <si>
    <t>2. KlimaBilanzKultur+ (optional):</t>
  </si>
  <si>
    <t>Datenerfassung KlimaBilanzKultur+</t>
  </si>
  <si>
    <t>3. Beyond Carbon (optional):</t>
  </si>
  <si>
    <t>Erfassen Sie ggf. zusätzlich die Daten zur Ermittlung der KlimaBilanzKultur+.</t>
  </si>
  <si>
    <r>
      <t>CO</t>
    </r>
    <r>
      <rPr>
        <b/>
        <vertAlign val="subscript"/>
        <sz val="14"/>
        <color rgb="FF4472C4"/>
        <rFont val="Calibri"/>
        <family val="2"/>
        <scheme val="minor"/>
      </rPr>
      <t>2</t>
    </r>
    <r>
      <rPr>
        <b/>
        <sz val="14"/>
        <color rgb="FF4472C4"/>
        <rFont val="Calibri"/>
        <family val="2"/>
        <scheme val="minor"/>
      </rPr>
      <t>-Rechner für Kultureinrichtungen in Deutschland (CO</t>
    </r>
    <r>
      <rPr>
        <b/>
        <vertAlign val="subscript"/>
        <sz val="14"/>
        <color rgb="FF4472C4"/>
        <rFont val="Calibri"/>
        <family val="2"/>
        <scheme val="minor"/>
      </rPr>
      <t>2</t>
    </r>
    <r>
      <rPr>
        <b/>
        <sz val="14"/>
        <color rgb="FF4472C4"/>
        <rFont val="Calibri"/>
        <family val="2"/>
        <scheme val="minor"/>
      </rPr>
      <t>-Kulturrechner)</t>
    </r>
  </si>
  <si>
    <r>
      <rPr>
        <b/>
        <sz val="11"/>
        <color theme="1"/>
        <rFont val="Calibri"/>
        <family val="2"/>
        <scheme val="minor"/>
      </rPr>
      <t>1. Navigation Tabellenblätter</t>
    </r>
    <r>
      <rPr>
        <sz val="11"/>
        <color theme="1"/>
        <rFont val="Calibri"/>
        <family val="2"/>
        <scheme val="minor"/>
      </rPr>
      <t xml:space="preserve"> - Die einzelnen Tabellenblätter (Reiter) dieser Excel-Datei sind farblich codiert:</t>
    </r>
  </si>
  <si>
    <t>Verlinkungen</t>
  </si>
  <si>
    <t>Die KlimaBilanzKultur+ (KBK+) ermöglicht die Berücksichtigung weiterer Themenbereiche in Scope 3 in Ihrer Treibhausgasbilanz, beispielsweise die Anreise von Besuchenden zu Ihrer Einrichtung oder den Materialverbrauch. 
Die Erfassung von Daten in der KlimaBilanzultur+ ist optional.</t>
  </si>
  <si>
    <r>
      <t>Im Bereich von „Beyond Carbon“ werden ausgewählte Güter betrachtet, die durch Ihre Einrichtung bezogen werden, deren Klimawirkung in CO</t>
    </r>
    <r>
      <rPr>
        <vertAlign val="subscript"/>
        <sz val="11"/>
        <color theme="1"/>
        <rFont val="Calibri"/>
        <family val="2"/>
        <scheme val="minor"/>
      </rPr>
      <t>2</t>
    </r>
    <r>
      <rPr>
        <sz val="11"/>
        <color theme="1"/>
        <rFont val="Calibri"/>
        <family val="2"/>
        <scheme val="minor"/>
      </rPr>
      <t>e jedoch oft vernachlässigbar ist und nur bedingt die tatsächliche Umweltwirkung abbildet (z.B. Wasser- und Papierverbrauch). Daher werden in diesem Bereich zur Bewusstseinsbildung lediglich absolute Verbrauchswerte erfasst, jedoch nicht die verbundenen Emissionen berechnet. 
Die Erfassung von Daten im Bereich "Beyond Carbon" ist optional.</t>
    </r>
  </si>
  <si>
    <t>Verlinkungen innerhalb des Tools sind in unterstrichener orangefarbener Schrift markiert. 
Durch einfaches Klicken auf den Text gelangen Sie an die entsprechende Stelle in der Datei.</t>
  </si>
  <si>
    <t>v1.0</t>
  </si>
  <si>
    <t xml:space="preserve">Kultursparte </t>
  </si>
  <si>
    <t>Name der Einrichtung</t>
  </si>
  <si>
    <t>Bitte auswählen 
(Dropdown)</t>
  </si>
  <si>
    <t>Anpassung der Ergebnisanzeige</t>
  </si>
  <si>
    <t>Navigation Gesamt-/Teilergebnis</t>
  </si>
  <si>
    <t>Gesamtergebnis:</t>
  </si>
  <si>
    <t>Teilergebnis:</t>
  </si>
  <si>
    <t>Themenbereich</t>
  </si>
  <si>
    <t>In den Erfassungstabellen können Sie je Zeile eine Emissionsquelle/Aktivität erfassen, die genau einem Gliederungselement zugeordnet wird. Wählen Sie das Gliederungselement und die Emissionsquelle per Dropdown-Menü und tragen sie den entsprechenden Wert in der zugehörigen Erfassungseinheit ein (z.B. Erdgasverbrauch in kWh, Geschäftsreisen per PKW in Pkm). Wählen Sie zudem die Datenqualität des eingetragenen Werts. 
Sie können jedem Gliederungselement beliebig viele Emissionsquellen/Aktivitäten im selben Themenbereich zuordnen. Wenn sie zusätzliche Erfassungszeilen benötigen, markieren Sie die gesamte letzte Zeile einer Erfassungstabelle und fügen Sie weitere Zeilen ein (Menüband: Start -&gt; Zellen -&gt; Einfügen) .</t>
  </si>
  <si>
    <t>KBK</t>
  </si>
  <si>
    <t>KBK+</t>
  </si>
  <si>
    <t>Datenerfassung KlimaBilanzKultur+ (KBK+)</t>
  </si>
  <si>
    <t>Datenerfassung KlimaBilanzKultur (KBK)</t>
  </si>
  <si>
    <t>Haben Sie Daten für die KBK+ erfasst?</t>
  </si>
  <si>
    <t>KlimaBilanzKultur+ (KBK+)</t>
  </si>
  <si>
    <t>Summe: KBK und KBK+</t>
  </si>
  <si>
    <t>KlimaBilanzKultur (KBK)</t>
  </si>
  <si>
    <t>Summe KBK</t>
  </si>
  <si>
    <t>Summe KBK+</t>
  </si>
  <si>
    <t>Emissionen KlimaBilanzKultur+ 
[t CO2e]</t>
  </si>
  <si>
    <t>Emissionen KlimaBilanzKultur 
[t CO2e]</t>
  </si>
  <si>
    <r>
      <t>Summe: 
KBK und KBK+ 
[t CO</t>
    </r>
    <r>
      <rPr>
        <b/>
        <vertAlign val="subscript"/>
        <sz val="11"/>
        <rFont val="Calibri"/>
        <family val="2"/>
        <scheme val="minor"/>
      </rPr>
      <t>2</t>
    </r>
    <r>
      <rPr>
        <b/>
        <sz val="11"/>
        <rFont val="Calibri"/>
        <family val="2"/>
        <scheme val="minor"/>
      </rPr>
      <t>e]</t>
    </r>
  </si>
  <si>
    <t>Zusammenfassung und Kennzahlen:</t>
  </si>
  <si>
    <t>Emissionen nach Themenbereich:</t>
  </si>
  <si>
    <t>Emissionen nach Scope:</t>
  </si>
  <si>
    <t>Eigenfaktor --&gt;</t>
  </si>
  <si>
    <t>IT-Dienst-leistungen</t>
  </si>
  <si>
    <t>Anreise der Beschenden</t>
  </si>
  <si>
    <t>Waren-transporte</t>
  </si>
  <si>
    <t>Pendeln  Mitarbeitende</t>
  </si>
  <si>
    <t>Geschäfts-reisen</t>
  </si>
  <si>
    <t>Die Ergebnisse können Sie schließlich im Reiter "Ergebnisse" einsehen.</t>
  </si>
  <si>
    <t>Legen Sie zur Strukturierung Ihrer Bilanz Gliedrungselemente an.</t>
  </si>
  <si>
    <t>Erfassen Sie ggf. zusätzlich die Daten im Bereich Beyond Carbon.</t>
  </si>
  <si>
    <t>In diesem Tabellenblatt sind für alle zuvor definierten Gliederungselemente die Emissionquellen der KlimaBilanzKultur zu erfassen. Die Erfassung gliedert sich in mehrere "Themenbereichen". Zu jedem Themenbereich gibt es eine separate Erfassungstabelle mit jeweils themenspezifischen Erfassungshinweisen. Weitere Hilfestellungen zur Datensammlung sind dem Leitfaden (Kapitel 3.4. ff.) zu entnehmen.</t>
  </si>
  <si>
    <t>Die folgende Tabelle bietet einen Überblick über alle Themen der KlimaBilanzKultur und gibt als Arbeitshilfe Aufschluss über den Erfassungsstatus. Über die orange markierten Texte in Spalte "Themenbereich" können Sie direkt zur Erfassungstabelle des jeweiligen Themenbereichs springen. 
Die Spalte "Werte vorhanden?" indiziert, ob in der jeweiligen Erfassungstabelle des Themenbereichs bereits Daten erfasst wurden, jedoch nicht, ob diese vollständig sind. Wenn Sie alle Emissionsquellen für ein Themenbereich erfasst haben, klicken Sie bitte in das weiße Kästchen in Spalte "Vollständig erfasst?".</t>
  </si>
  <si>
    <r>
      <t xml:space="preserve">Um das Teileregebnis für ein einzelnes Gliederungselement anzuzeigen, wählen Sie bitte im </t>
    </r>
    <r>
      <rPr>
        <i/>
        <sz val="11"/>
        <color theme="5"/>
        <rFont val="Calibri"/>
        <family val="2"/>
        <scheme val="minor"/>
      </rPr>
      <t>orange</t>
    </r>
    <r>
      <rPr>
        <i/>
        <sz val="11"/>
        <rFont val="Calibri"/>
        <family val="2"/>
        <scheme val="minor"/>
      </rPr>
      <t xml:space="preserve"> eingefärbten Feld das Gliederungselment über das Dropdown-Menü!</t>
    </r>
  </si>
  <si>
    <t>Erfassen Sie hier das im Bezugsjahr bezogene Volumen an Trinkwasser in Kubikmetern. Die Verbrauchswerte finden Sie in der Regel in der Abrechnung Ihres Versorgers.</t>
  </si>
  <si>
    <t>Durchschnittliche Distanz 
(km einfach)</t>
  </si>
  <si>
    <r>
      <t>Erfassen Sie die strombezogenen Emissionsquellen der Liegenschaften, über die Sie operationelle Kontrolle haben (Eigentum und zur Miete).
Gemäß dem CO</t>
    </r>
    <r>
      <rPr>
        <i/>
        <vertAlign val="subscript"/>
        <sz val="11"/>
        <rFont val="Calibri"/>
        <family val="2"/>
        <scheme val="minor"/>
      </rPr>
      <t>2</t>
    </r>
    <r>
      <rPr>
        <i/>
        <sz val="11"/>
        <rFont val="Calibri"/>
        <family val="2"/>
        <scheme val="minor"/>
      </rPr>
      <t>-Kulturstandard werden die Emissionen des Strombezugs nach dem deutschen Strommix bewertet. Bitte wählen Sie daher bei externem Strombezug "Strombezug (Strommix Deutschland)" - auch wenn Sie Grünstrom/Ökostrom beziehen.
Bei eigener Stromerzeugung durch Photovoltaik, wählen Sie "Strom Eigenerzeugung (Photovoltaik)" und tragen Sie den gesamten eigenerzeugten Strom ein, unabhängig davon, ob dieser vor Ort verbraucht oder ins Netz eingespeist wird.</t>
    </r>
  </si>
  <si>
    <t>Erfassen Sie hier die Jahresverbräuche von Fahrzeugen in Verantwortung Ihrer Einrichtung (Eigentum und Leasing). Fahrten mit privaten, temporär angemieteten oder CarSharing Fahrzeugen werden unter 'Geschäftsfahrten' bzw. 'Pendeln der Mitarbeitenden' erfasst.
Umfasst Ihr Fuhrpark auch Elektrofahrzeuge, erfassen Sie bitte nur den extern geladenen Strom. Strom aus Ladevorgängen an eigenen Ladesäulen werden bereits über das Themenbereich "Strom" erfasst.</t>
  </si>
  <si>
    <t>Bitte erfassen Sie hier die Jahresfahrleistungen durch Geschäftsreisen mit privaten, temporär angemieteten oder CarSharing Fahrzeugen sowie mit öffentlichen Verkehrsmitteln und Flugreisen. Die Erfassungseinheit „Personenkilometer“ lässt sich durch Multiplikation der Personenanzahl und der jeweiligen Distanz berechnen. Bei den Geschäftsreisen sollten in der Regel Reisekostenabrechnungen vorliegen. Ist keine Entfernung angeben, können Sie diese mittels eines Routenplaners ermitteln. Zudem können Sie auch durch Externe, wie beispielsweise Ihr Reisebüro, ermittelte Emissionen direkt eintragen (Dropdown-Auswahl: "Extern ermittelte Emissionen").
Auch die Anzahl der geschäftlichen Hotelübernachtungen ist hier zu erfassen. Hierbei wird zwischen Übernachtungen innerhalb und außerhalb Deutschlands unterschieden.</t>
  </si>
  <si>
    <t>Bitte erfassen Sie alle Reisen inkl. Übernachtungen von Personen, die nicht fest bei Ihrer Kultureinrichtung angestellt sind, jedoch direkt von Ihnen für eine Dienstleistung beauftragt werden und in diesem Zusammenhang reisen. Dies umfasst z.B. die Reisetätigkeiten von Künstlerinnen und Künstlern, freien Mitarbeitenden oder Kurieren. Nicht betroffen sind Reisen des Personals von Drittfirmen, die durch die Kultureinrichtung beauftragt werden, und keinen Bezug zum Kerngeschäft der Einrichtung haben, beispielsweise die Anreise von Reinigungs- oder Sicherheitspersonal.
Geben Sie bitte bei der Eingabe das Verkehrsmittel und die zurückgelegte Strecke an. Zudem werden analog zu den Geschäftsreisen auch hier Hotelübernachtungen erfasst.</t>
  </si>
  <si>
    <t>Bitte erfassen Sie hier die Emissionen durch die eingekaufte IT-Dienstleistung „Cloud-Storage“. Die Eingabe erfolgt in Gigabyte (GB) gebuchten Cloud-Speicherplatz unabhängig davon, ob dieser auch vollumfänglich genutzt wird. Sollte Ihnen der Cloud-Speicherplatz durch Dritte kostenfrei zur Verfügung gestellt werden (z.B. als staatliche Einrichtung) können Sie den zur Verfügung gestellten Speicherplatz dennoch hier erfassen.
Sie können auch direkt den Emissionswert als „Extern ermittelte Emissionen“ eintragen, wenn Ihnen diese Information durch Ihren Cloud-Dienstleister bereitgestellt wird.</t>
  </si>
  <si>
    <t>Bei den relevanten Stoffströmen werden die Emissionen der Herstellung und Entsorgung von Materialien berechnet und über die jährlichen Abfallmengen der entsprechenden Abfallkategorie erfasst (z.B. Altholz, Metallschrott, Baumischabfall oder Sperrmüll). Darüber hinaus sind die Abfallmengen weiterer haushaltsüblicher Abfallkategorien zu erfassen (Mülltonnen). 
Bitte wählen Sie die entsprechende Abfallart im Dropdown-Menü und tragen Sie die zugehörige Abfallmenge in Kubikmetern ein. Dabei wird stets das Container- oder Mülltonnenvolumen berücksichtigt, unabhängig von der tatsächlichen Füllmenge. Die Werte hierfür können Sie i.d.R. auf Grundlage der Abrechnung Ihres Abfallentsorgers ermitteln. Weitere Hinweise hierzu finden Sie auch in der Anleitung (Kapitel 3.6.4).</t>
  </si>
  <si>
    <t>Bitte erfassen Sie die jährliche Einkaufsmenge von neu beschafften Büchern, CDs und DVDs über das Gewicht (kg) oder die beschaffte Stückzahl. 
Sonstige Waren des Einkaufs können über die Erfassung der Abfallvolumina indirekt über den Themenbereich "Relevante Stoffströme" berücksichtigt werden.</t>
  </si>
  <si>
    <t>Vermeidungsfaktor (kg CO2e/Einheit)</t>
  </si>
  <si>
    <t>Quelle  Vermeidungsfaktor</t>
  </si>
  <si>
    <t>Erdgas (in kWh)</t>
  </si>
  <si>
    <r>
      <t>Erdgas (in m</t>
    </r>
    <r>
      <rPr>
        <vertAlign val="superscript"/>
        <sz val="11"/>
        <color theme="1"/>
        <rFont val="Calibri"/>
        <family val="2"/>
        <scheme val="minor"/>
      </rPr>
      <t>3</t>
    </r>
    <r>
      <rPr>
        <sz val="11"/>
        <color theme="1"/>
        <rFont val="Calibri"/>
        <family val="2"/>
        <scheme val="minor"/>
      </rPr>
      <t>)</t>
    </r>
  </si>
  <si>
    <r>
      <t>Biomethan (in m</t>
    </r>
    <r>
      <rPr>
        <vertAlign val="superscript"/>
        <sz val="11"/>
        <color theme="1"/>
        <rFont val="Calibri"/>
        <family val="2"/>
        <scheme val="minor"/>
      </rPr>
      <t>3</t>
    </r>
    <r>
      <rPr>
        <sz val="11"/>
        <color theme="1"/>
        <rFont val="Calibri"/>
        <family val="2"/>
        <scheme val="minor"/>
      </rPr>
      <t>)</t>
    </r>
  </si>
  <si>
    <t>Biomethan (in kWh)</t>
  </si>
  <si>
    <r>
      <t>Der Standard definiert spartenübergreifend insbesondere die operationellen Systemgrenzen für den CO</t>
    </r>
    <r>
      <rPr>
        <vertAlign val="subscript"/>
        <sz val="11"/>
        <color theme="1"/>
        <rFont val="Calibri"/>
        <family val="2"/>
        <scheme val="minor"/>
      </rPr>
      <t>2</t>
    </r>
    <r>
      <rPr>
        <sz val="11"/>
        <color theme="1"/>
        <rFont val="Calibri"/>
        <family val="2"/>
        <scheme val="minor"/>
      </rPr>
      <t xml:space="preserve">-Fußabdruck. 
Unterschieden wird  zwischen </t>
    </r>
    <r>
      <rPr>
        <b/>
        <sz val="11"/>
        <color theme="1"/>
        <rFont val="Calibri"/>
        <family val="2"/>
        <scheme val="minor"/>
      </rPr>
      <t>drei unterschiedlichen Bilanzierungstiefen</t>
    </r>
    <r>
      <rPr>
        <sz val="11"/>
        <color theme="1"/>
        <rFont val="Calibri"/>
        <family val="2"/>
        <scheme val="minor"/>
      </rPr>
      <t xml:space="preserve"> (siehe Schaubild). Die Erfassung in diesem Tool ist entsprechend in drei Teile gegliedert. Die Ergebnisse werden ebenfalls entsprechend differenziert. Zur leichteren Bedienung des Tools sind alle drei Bereiche farblich unterschiedlich gekennzeichnet.</t>
    </r>
  </si>
  <si>
    <t>Die KlimaBilanzKultur (KBK) deckt Aktivitätsdaten aus Scope 1 und 2, sowie ausgewählte Scope 3 Kategorien des GHG Protocols ab.  Diese sind: Wärme, Strom, Kühl- und Kältemittel, Fuhrpark, Geschäftsreisen, Pendeln der Mitarbeitenden, Externe und Warentransporte.
Für eine standardkonforme Treibhausgasbilanz sind die Aktivitäten in den Themenbereiche der KlimaBilanzKultur verpflichtend zu erfassen.</t>
  </si>
  <si>
    <r>
      <t xml:space="preserve">Gliederungselemente ermöglichen Ihnen zusätzlich zum Gesamtergebnis für Ihre Einrichtung, auch Teilergebnisse für einzelne Standorte, Gebäude o.Ä. zu berechnen. Bei der Datenerfassung muss jede Emissionsquelle einem Gliederungselement zugeordnet werden. </t>
    </r>
    <r>
      <rPr>
        <b/>
        <i/>
        <sz val="11"/>
        <rFont val="Calibri"/>
        <family val="2"/>
        <scheme val="minor"/>
      </rPr>
      <t>Zum Anlegen von Gliederungselementen, tragen Sie diese in untenstehende Tabelle ein</t>
    </r>
    <r>
      <rPr>
        <i/>
        <sz val="11"/>
        <rFont val="Calibri"/>
        <family val="2"/>
        <scheme val="minor"/>
      </rPr>
      <t xml:space="preserve">, sie erscheinen dann im Dropdown-Menü "Zuordnung Gliederungselement" bei der Datenerfassung.
Es ist erforderlich, </t>
    </r>
    <r>
      <rPr>
        <b/>
        <i/>
        <sz val="11"/>
        <rFont val="Calibri"/>
        <family val="2"/>
        <scheme val="minor"/>
      </rPr>
      <t>mindestens ein Gliederungselement</t>
    </r>
    <r>
      <rPr>
        <i/>
        <sz val="11"/>
        <rFont val="Calibri"/>
        <family val="2"/>
        <scheme val="minor"/>
      </rPr>
      <t xml:space="preserve"> anzulegen (z.B. mit dem Namen Ihrer Einrichtung als Bezeichung). Mehrere Gliederungselemente können sinnvoll sein, wenn Ihre Einrichtung beispielsweise aus mehreren Standorten oder Gebäuden besteht, für die sie jeweils ein separates Ergebnis berechnen möchten. In diesem Fall kann es sich zudem anbieten, ein Gliederungselement namens "übergeordnete Emissionen" anzulegen, um Emissionsquellen zusammenzufassen, die sich nicht einem bestimmten Gliederungselement zuordnen lassen.
Weitere Details können Sie in der Anleitung zum CO2-Kulturrechner, Kapitel 3.3, nachlesen.</t>
    </r>
  </si>
  <si>
    <r>
      <t xml:space="preserve">Erfassen Sie die Verflüchtigungen aus Kühl- und Kältemitteln (z.B. aus Klimanalagen oder Wärmepumpen). 
Verflüchtigungen aus Kleinstanlagen (z.B. in Fahrzeugen) sind vernachlässigbar. Größere Anlagen sind i.d.R. wartungspflichtig. Die Verflüchtigungsmenge entspricht dann der im Wartungsprotokoll vermerkten </t>
    </r>
    <r>
      <rPr>
        <b/>
        <i/>
        <sz val="11"/>
        <rFont val="Calibri"/>
        <family val="2"/>
        <scheme val="minor"/>
      </rPr>
      <t>Nachfüllmenge</t>
    </r>
    <r>
      <rPr>
        <i/>
        <sz val="11"/>
        <rFont val="Calibri"/>
        <family val="2"/>
        <scheme val="minor"/>
      </rPr>
      <t xml:space="preserve"> des Kühl-/Kältemittels.
Sollten sie das verwendete Kühlmittel nicht im Dropdown finden, haben Sie die Möglichkeit im Reiter "Emissionsfaktoren" den Faktor selbst einzupflegen. Eine entsprechende Anleitung finden Sie ebenfalls dort sowie in der Anleitung zum CO2-Kulturrechner. Der Emissionsfaktor des Kühlmittels wird üblicherweise im Wartungsprotokoll ausgewiesen.</t>
    </r>
  </si>
  <si>
    <t xml:space="preserve">Erfassen Sie hier die Emissionen aus beauftragten Speditionsleistungen, die nicht in eigenen Fahrzeugen durchgeführt wurden und für Ihre Einrichtung finanziell aufgekommen ist.
Viele Speditionsdienstleister weisen die CO2e-Emissionen des Transports direkt aus, sie können diese direkt als "Extern ermittelte Emissionen" eintragen. Alternativ können Sie die Emissionen auch selbst berechnen: Die Eingabe erfolgt dann in Tonnenkilometern (tkm) in Verbindung mit dem jeweiligen Verkehrsmittel, das Sie im Dropdown-Menü auswählen können.
</t>
  </si>
  <si>
    <r>
      <t xml:space="preserve">Die Erfassung von weiteren Emissionquellen im Rahmen der Erweiterten Bilanz ist </t>
    </r>
    <r>
      <rPr>
        <b/>
        <i/>
        <sz val="11"/>
        <rFont val="Calibri"/>
        <family val="2"/>
        <scheme val="minor"/>
      </rPr>
      <t>optional</t>
    </r>
    <r>
      <rPr>
        <i/>
        <sz val="11"/>
        <rFont val="Calibri"/>
        <family val="2"/>
        <scheme val="minor"/>
      </rPr>
      <t xml:space="preserve">. Emissionsquellen der Erweiterten Bilanz, insbesondere die </t>
    </r>
    <r>
      <rPr>
        <b/>
        <i/>
        <sz val="11"/>
        <rFont val="Calibri"/>
        <family val="2"/>
        <scheme val="minor"/>
      </rPr>
      <t>Anreise von Beschuchenden</t>
    </r>
    <r>
      <rPr>
        <i/>
        <sz val="11"/>
        <rFont val="Calibri"/>
        <family val="2"/>
        <scheme val="minor"/>
      </rPr>
      <t xml:space="preserve"> zu Ihrer Einrichtung oder ggf. auch die Berücksichtigung </t>
    </r>
    <r>
      <rPr>
        <b/>
        <i/>
        <sz val="11"/>
        <rFont val="Calibri"/>
        <family val="2"/>
        <scheme val="minor"/>
      </rPr>
      <t>relevanter Stoffströme (Materialverbräuche)</t>
    </r>
    <r>
      <rPr>
        <i/>
        <sz val="11"/>
        <rFont val="Calibri"/>
        <family val="2"/>
        <scheme val="minor"/>
      </rPr>
      <t xml:space="preserve">  können die Höhe Ihrer CO2-Bilanz wesentlich beeinflussen. Wie auch bei der KlibaBilanzKultur gliedert sich die Erfassung in mehrere "Themenbereiche". 
Zu jedem Themenbereich gibt es eine separate Erfassungstabelle mit jeweils themenspezifischen Erfassungshinweisen. Weitere Details zur Datensammlung sind dem Leitfaden (Kapitel 2.6) zu entnehmen.
Die folgende Tabelle wiederum bietet einen Überblick über alle Themenbereiche der Erweiterten Bilanz und gibt Aufschluss über den Erfassungsstatus. Über die blau markierten Texte in Spalte "Themenbereich" können Sie direkt zur Erfassungstabelle des jeweiligen Themenbereichs springen. Spalte "Werte vorhanden?" indiziert, ob in der jeweiligen Erfassungstabelle des Themenbereichs bereits Daten erfasst wurden, jedoch nicht, ob diese vollständig sind. Wenn Sie alle Emissionsquellen für einen Themenbereich erfasst haben, klicken Sie bitte in das weiße Kästchen in Spalte "Vollständig erfasst?".</t>
    </r>
  </si>
  <si>
    <t>Bitte erfassen Sie hier die Emissionen durch die Anreise der Besucherinnen und Besucher zu Ihrer Einrichtung und Ihren Veranstaltungen. Tragen Sie je Verkehrsmittel die Besucheranzahl ein sowie die durchschnittliche einfache Anreisedistanz ein.
Der Anteil der Besuchenden je Verkehrsmittel sowie die durchschnittliche Anreisedistanz je Verkehrsmittel lassen sich am besten mittels Befragungen ermitteln und auf die Gesamtzahl der jährlichen Besucherinnen und Bescuher hochrechnen. Detaillierte Hinweise für die Ermittlung und Erfassung der Daten zur Anreise der Besuchenden finden Sie in der Anleitung zum CO2-Kulturrechner (Kapitel 3.6.1).</t>
  </si>
  <si>
    <t>Im Bereich von „Beyond Carbon“ werden ausgewählte Güter betrachtet, die durch Ihre Einrichtung bezogen werden, deren Klimawirkung gemessen in CO2-Äquivalenten (CO2e) jedoch oft vernachlässigbar ist und nur bedingt die tatsächliche Umweltwirkung abbildet (z.B. Wasser- und Papierverbrauch). Daher werden in diesem Bereich zur Bewusstseinsbildung lediglich absolute Verbrauchswerte erfasst, jedoch keine Emissionen berechnet. Die Erfassung von Daten im Bereich "Beyond Carbon" ist optional.</t>
  </si>
  <si>
    <t>3. Dezimal- und Tausendertrennzeichen in Excel</t>
  </si>
  <si>
    <r>
      <t xml:space="preserve">Welche Dezimal- und Tausendertrennzeichen Ihnen bei Zahlen in Excel angezeigt werden, hängt von den Einstellungen Ihrer lokalen Excel-Version ab. Für gewöhnlich lassen sich diese über </t>
    </r>
    <r>
      <rPr>
        <i/>
        <sz val="11"/>
        <color theme="1"/>
        <rFont val="Calibri"/>
        <family val="2"/>
        <scheme val="minor"/>
      </rPr>
      <t>Datei -&gt; Optionen -&gt; Erweitert -&gt; Bearbeitungsoptionen</t>
    </r>
    <r>
      <rPr>
        <sz val="11"/>
        <color theme="1"/>
        <rFont val="Calibri"/>
        <family val="2"/>
        <scheme val="minor"/>
      </rPr>
      <t xml:space="preserve"> anpassen.</t>
    </r>
  </si>
  <si>
    <t>Erfassen Sie hier die wärmebezogenen Emissionsquellen in den Liegenschaften, über die Sie operationelle Kontrolle haben (Eigentum und zur Miete).
Haben Sie einen "Biogas"-Tarif (= Bezug von Biomethan) prüfen Sie bitte den Biomethan-Anteil Ihres Tarifs. Sollte dieser nicht 100% betragen, erfassen Sie den jeweiligen Erdgas- und Biomethan-Anteil als separate Aktivität in zwei separaten Zeilen.
Im Fall von Fernwärmebezug geben Sie den spezifischen Emissionsfaktor Ihres Lieferanten an, wenn Ihnen die entsprechenden Daten vorliegen. Wählen Sie hierzu "Fernwärme (Wert Energieversorger)" und tragen den Emissionsfaktor in Spalte I ein. Alternativ wählen Sie "Fernwärme (fossiler Mix DE)".</t>
  </si>
  <si>
    <r>
      <t>Emissionen pro Mitarbeitenden
[kg CO</t>
    </r>
    <r>
      <rPr>
        <b/>
        <vertAlign val="subscript"/>
        <sz val="11"/>
        <rFont val="Calibri"/>
        <family val="2"/>
        <scheme val="minor"/>
      </rPr>
      <t>2</t>
    </r>
    <r>
      <rPr>
        <b/>
        <sz val="11"/>
        <rFont val="Calibri"/>
        <family val="2"/>
        <scheme val="minor"/>
      </rPr>
      <t>e]</t>
    </r>
  </si>
  <si>
    <r>
      <t>Emissionen pro Besuchenden
[kg CO</t>
    </r>
    <r>
      <rPr>
        <b/>
        <vertAlign val="subscript"/>
        <sz val="11"/>
        <rFont val="Calibri"/>
        <family val="2"/>
        <scheme val="minor"/>
      </rPr>
      <t>2</t>
    </r>
    <r>
      <rPr>
        <b/>
        <sz val="11"/>
        <rFont val="Calibri"/>
        <family val="2"/>
        <scheme val="minor"/>
      </rPr>
      <t>e]</t>
    </r>
  </si>
  <si>
    <t>Scope 3.7: Pendeln der Mitarbeitenden</t>
  </si>
  <si>
    <r>
      <t>Emissionen pro Mitarbeitenden 
[kg CO</t>
    </r>
    <r>
      <rPr>
        <b/>
        <vertAlign val="subscript"/>
        <sz val="11"/>
        <rFont val="Calibri"/>
        <family val="2"/>
        <scheme val="minor"/>
      </rPr>
      <t>2</t>
    </r>
    <r>
      <rPr>
        <b/>
        <sz val="11"/>
        <rFont val="Calibri"/>
        <family val="2"/>
        <scheme val="minor"/>
      </rPr>
      <t>e]</t>
    </r>
  </si>
  <si>
    <r>
      <t>Dieses Tool wurde im Auftrag des Ministerium für Wissenschaft, Forschung und Kunst Baden-Württemberg (MWK) und der Beauftragten der Bundesregierung für Kultur und Medien (BKM) von der KlimAktiv gGmbH in Kooperation mit der Thema 1 GmbH auf Grundlage des Ergebnispapiers der Expertengruppe CO</t>
    </r>
    <r>
      <rPr>
        <vertAlign val="subscript"/>
        <sz val="11"/>
        <color theme="1"/>
        <rFont val="Calibri"/>
        <family val="2"/>
        <scheme val="minor"/>
      </rPr>
      <t>2</t>
    </r>
    <r>
      <rPr>
        <sz val="11"/>
        <color theme="1"/>
        <rFont val="Calibri"/>
        <family val="2"/>
        <scheme val="minor"/>
      </rPr>
      <t>-Bilanzierung in Kultureinrichtungen vom 26. April 2023 entwickelt.</t>
    </r>
  </si>
  <si>
    <t>v1.1</t>
  </si>
  <si>
    <t>Flüssiggas (in kWh)</t>
  </si>
  <si>
    <t>Flüssiggas (in L)</t>
  </si>
  <si>
    <t>Altholz (t)</t>
  </si>
  <si>
    <t>Metallschrott (t)</t>
  </si>
  <si>
    <t>Baumischabfall (t)</t>
  </si>
  <si>
    <t>Sperrmüll (t)</t>
  </si>
  <si>
    <t>Elektroschrott (IT-Hardware, t)</t>
  </si>
  <si>
    <t>Elektroschrott (ohne IT-Hardware, t)</t>
  </si>
  <si>
    <t>Papiermüll (t)</t>
  </si>
  <si>
    <t>Plastikmüll (t)</t>
  </si>
  <si>
    <t>Restmüll (t)</t>
  </si>
  <si>
    <t>Biomüll (t)</t>
  </si>
  <si>
    <t>Altglas (t)</t>
  </si>
  <si>
    <t>t</t>
  </si>
  <si>
    <r>
      <t>Altholz (m</t>
    </r>
    <r>
      <rPr>
        <vertAlign val="superscript"/>
        <sz val="11"/>
        <color theme="1"/>
        <rFont val="Calibri"/>
        <family val="2"/>
        <scheme val="minor"/>
      </rPr>
      <t>3</t>
    </r>
    <r>
      <rPr>
        <sz val="11"/>
        <color theme="1"/>
        <rFont val="Calibri"/>
        <family val="2"/>
        <scheme val="minor"/>
      </rPr>
      <t>)</t>
    </r>
  </si>
  <si>
    <r>
      <t>Metallschrott (m</t>
    </r>
    <r>
      <rPr>
        <vertAlign val="superscript"/>
        <sz val="11"/>
        <color theme="1"/>
        <rFont val="Calibri"/>
        <family val="2"/>
        <scheme val="minor"/>
      </rPr>
      <t>3</t>
    </r>
    <r>
      <rPr>
        <sz val="11"/>
        <color theme="1"/>
        <rFont val="Calibri"/>
        <family val="2"/>
        <scheme val="minor"/>
      </rPr>
      <t>)</t>
    </r>
  </si>
  <si>
    <r>
      <t>Baumischabfall (m</t>
    </r>
    <r>
      <rPr>
        <vertAlign val="superscript"/>
        <sz val="11"/>
        <color theme="1"/>
        <rFont val="Calibri"/>
        <family val="2"/>
        <scheme val="minor"/>
      </rPr>
      <t>3</t>
    </r>
    <r>
      <rPr>
        <sz val="11"/>
        <color theme="1"/>
        <rFont val="Calibri"/>
        <family val="2"/>
        <scheme val="minor"/>
      </rPr>
      <t>)</t>
    </r>
  </si>
  <si>
    <r>
      <t>Sperrmüll (m</t>
    </r>
    <r>
      <rPr>
        <vertAlign val="superscript"/>
        <sz val="11"/>
        <color theme="1"/>
        <rFont val="Calibri"/>
        <family val="2"/>
        <scheme val="minor"/>
      </rPr>
      <t>3</t>
    </r>
    <r>
      <rPr>
        <sz val="11"/>
        <color theme="1"/>
        <rFont val="Calibri"/>
        <family val="2"/>
        <scheme val="minor"/>
      </rPr>
      <t>)</t>
    </r>
  </si>
  <si>
    <r>
      <t>Papiermüll (m</t>
    </r>
    <r>
      <rPr>
        <vertAlign val="superscript"/>
        <sz val="11"/>
        <color theme="1"/>
        <rFont val="Calibri"/>
        <family val="2"/>
        <scheme val="minor"/>
      </rPr>
      <t>3</t>
    </r>
    <r>
      <rPr>
        <sz val="11"/>
        <color theme="1"/>
        <rFont val="Calibri"/>
        <family val="2"/>
        <scheme val="minor"/>
      </rPr>
      <t>)</t>
    </r>
  </si>
  <si>
    <r>
      <t>Plastikmüll (m</t>
    </r>
    <r>
      <rPr>
        <vertAlign val="superscript"/>
        <sz val="11"/>
        <color theme="1"/>
        <rFont val="Calibri"/>
        <family val="2"/>
        <scheme val="minor"/>
      </rPr>
      <t>3</t>
    </r>
    <r>
      <rPr>
        <sz val="11"/>
        <color theme="1"/>
        <rFont val="Calibri"/>
        <family val="2"/>
        <scheme val="minor"/>
      </rPr>
      <t>)</t>
    </r>
  </si>
  <si>
    <r>
      <t>Restmüll (m</t>
    </r>
    <r>
      <rPr>
        <vertAlign val="superscript"/>
        <sz val="11"/>
        <color theme="1"/>
        <rFont val="Calibri"/>
        <family val="2"/>
        <scheme val="minor"/>
      </rPr>
      <t>3</t>
    </r>
    <r>
      <rPr>
        <sz val="11"/>
        <color theme="1"/>
        <rFont val="Calibri"/>
        <family val="2"/>
        <scheme val="minor"/>
      </rPr>
      <t>)</t>
    </r>
  </si>
  <si>
    <r>
      <t>Biomüll (m</t>
    </r>
    <r>
      <rPr>
        <vertAlign val="superscript"/>
        <sz val="11"/>
        <color theme="1"/>
        <rFont val="Calibri"/>
        <family val="2"/>
        <scheme val="minor"/>
      </rPr>
      <t>3</t>
    </r>
    <r>
      <rPr>
        <sz val="11"/>
        <color theme="1"/>
        <rFont val="Calibri"/>
        <family val="2"/>
        <scheme val="minor"/>
      </rPr>
      <t>)</t>
    </r>
  </si>
  <si>
    <r>
      <t>Altglas (m</t>
    </r>
    <r>
      <rPr>
        <vertAlign val="superscript"/>
        <sz val="11"/>
        <color theme="1"/>
        <rFont val="Calibri"/>
        <family val="2"/>
        <scheme val="minor"/>
      </rPr>
      <t>3</t>
    </r>
    <r>
      <rPr>
        <sz val="11"/>
        <color theme="1"/>
        <rFont val="Calibri"/>
        <family val="2"/>
        <scheme val="minor"/>
      </rPr>
      <t>)</t>
    </r>
  </si>
  <si>
    <t>Sie haben die Möglichkeit, das Tool um eigene Emissionsfaktoren zu erweitern, beispielsweise, wenn das von Ihnen verwendete Kühlmittel nicht in der Emissionsfaktorenliste aufgeführt ist* oder Sie über die Systematik des CO2-Bilanzierungsstandards für Kultureinrichtungen hinaus weitere Emissionsquellen erfassen möchten. Bitte beachten Sie jedoch, dass bei Verwendung eigener Emissionsfaktoren mit Ausnahme des Themenbereichs Kühl- und Kältemittel keine Konformität zum CO2-Kulturstandard mehr gegeben ist. 
Zum Hinzufügen weitere Emissionsfaktoren, gehen Sie bitte wie folgt vor:
1. Scrollen Sie in diesem Tabellenblatt zu einer leeren Zeile in der Emissionsfaktorentabelle des jeweiligen Themenbereichs, dem der Emissionsfaktor zugeordnet werden soll (je Tabelle sind 5 leere Zeilen vorhanden, Sie können jedoch weitere Zeilen einfügen)
2. Benennen Sie den Faktor (Spalte E), z.B. mit dem Namen des Kühlmittels
3. Tragen Sie die Bezeichnung ein (Spalte F)
4. Tragen den Wert des Emissionsfaktors für Scope 1, 2 und 3 ein (Spalten G-I)
5. Tragen Sie die Quelle(n) für den Emissionsfaktor je Scope ein (Spalten J-L)
Der Emissionsfaktor erscheint im Anschluss im Dropdown-Menü des jeweiligen Themenbereichs unter „Emissionsquelle/Aktivität“ und kann für die Berechnung verwendet werden.
*Wenn das von Ihnen verwendete Kühlmittel nicht im Dropdown-Menü enthalten ist und Sie selbst den Emissionsfaktor hinzufügen, soll der Emissionsfaktor gemäß dem CO2-Kulturstandard auf Basis des Global Warming Potentials bezogen auf einen Zeitraum von 100 Jahren (GWP-100) der einzelnen Komponenten des Kühlmittels verwendet werden. Meist findet sich dieser Emissionsfaktor auch im Wartungsprotokoll der Anlage.</t>
  </si>
  <si>
    <t>Straße: LKW Durchschnitt</t>
  </si>
  <si>
    <t>Schiene: Zug Durchschnitt</t>
  </si>
  <si>
    <t>Vermeidung</t>
  </si>
  <si>
    <t>2023 EF Scope 1
(kg CO2e/Einheit)</t>
  </si>
  <si>
    <t>2022 EF Scope 1
(kg CO2e/Einheit)</t>
  </si>
  <si>
    <t>Scope 1 Änderung zum Vorjahr (%)</t>
  </si>
  <si>
    <t>2023 EF Scope 2
(kg CO2e/Einheit)</t>
  </si>
  <si>
    <t>2022 EF Scope 2
(kg CO2e/Einheit)</t>
  </si>
  <si>
    <t>Scope 2 Änderung zum Vorjahr (%)</t>
  </si>
  <si>
    <t>Scope 3 Änderung zum Vorjahr (%)</t>
  </si>
  <si>
    <t>Vermeidungsfaktor Änderung (%)</t>
  </si>
  <si>
    <t>Kommentar Änderung</t>
  </si>
  <si>
    <t>2023 EF Scope 3.1
(kg CO2e/Einheit)</t>
  </si>
  <si>
    <t>2022 EF Scope 3.1
(kg CO2e/Einheit)</t>
  </si>
  <si>
    <t>Scope 3.1 Änderung zum Vorjahr (%)</t>
  </si>
  <si>
    <t>2023 EF Scope 3.5
(kg CO2e/Einheit)</t>
  </si>
  <si>
    <t>2022 EF Scope 3.5
(kg CO2e/Einheit)</t>
  </si>
  <si>
    <t>Scope 3.5 Änderung zum Vorjahr (%)</t>
  </si>
  <si>
    <r>
      <t xml:space="preserve">2023 EF Scope 1
(kg CO2e/Einheit)
- 
</t>
    </r>
    <r>
      <rPr>
        <b/>
        <u/>
        <sz val="11"/>
        <color theme="0"/>
        <rFont val="Calibri"/>
        <family val="2"/>
        <scheme val="minor"/>
      </rPr>
      <t>CO2-Kulturrechner 2024</t>
    </r>
  </si>
  <si>
    <r>
      <t xml:space="preserve">2022 EF Scope 1
(kg CO2e/Einheit)
- 
</t>
    </r>
    <r>
      <rPr>
        <b/>
        <u/>
        <sz val="11"/>
        <color theme="0"/>
        <rFont val="Calibri"/>
        <family val="2"/>
        <scheme val="minor"/>
      </rPr>
      <t>CO2-Kulturrechner 2023</t>
    </r>
  </si>
  <si>
    <r>
      <t xml:space="preserve">2023 EF Scope 2
(kg CO2e/Einheit)
- 
</t>
    </r>
    <r>
      <rPr>
        <b/>
        <u/>
        <sz val="11"/>
        <color theme="0"/>
        <rFont val="Calibri"/>
        <family val="2"/>
        <scheme val="minor"/>
      </rPr>
      <t>CO2-Kulturrechner 2024</t>
    </r>
  </si>
  <si>
    <r>
      <t xml:space="preserve">2022 EF Scope 2
(kg CO2e/Einheit)
- 
</t>
    </r>
    <r>
      <rPr>
        <b/>
        <u/>
        <sz val="11"/>
        <color theme="0"/>
        <rFont val="Calibri"/>
        <family val="2"/>
        <scheme val="minor"/>
      </rPr>
      <t>CO2-Kulturrechner 2023</t>
    </r>
  </si>
  <si>
    <r>
      <t xml:space="preserve">2023 EF Scope 3
(kg CO2e/Einheit)
- 
</t>
    </r>
    <r>
      <rPr>
        <b/>
        <u/>
        <sz val="11"/>
        <color theme="0"/>
        <rFont val="Calibri"/>
        <family val="2"/>
        <scheme val="minor"/>
      </rPr>
      <t>CO2-Kulturrechner 2024</t>
    </r>
  </si>
  <si>
    <r>
      <t xml:space="preserve">2022 EF Scope 3
(kg CO2e/Einheit)
- 
</t>
    </r>
    <r>
      <rPr>
        <b/>
        <u/>
        <sz val="11"/>
        <color theme="0"/>
        <rFont val="Calibri"/>
        <family val="2"/>
        <scheme val="minor"/>
      </rPr>
      <t>CO2-Kulturrechner 2023</t>
    </r>
  </si>
  <si>
    <r>
      <t xml:space="preserve">2023 Vermeidungsfaktor (kg CO2e/Einheit)
- 
</t>
    </r>
    <r>
      <rPr>
        <b/>
        <u/>
        <sz val="11"/>
        <color theme="0"/>
        <rFont val="Calibri"/>
        <family val="2"/>
        <scheme val="minor"/>
      </rPr>
      <t>CO2-Kulturrechner 2024</t>
    </r>
  </si>
  <si>
    <r>
      <t xml:space="preserve">2022 Vermeidungsfaktor (kg CO2e/Einheit)
- 
</t>
    </r>
    <r>
      <rPr>
        <b/>
        <u/>
        <sz val="11"/>
        <color theme="0"/>
        <rFont val="Calibri"/>
        <family val="2"/>
        <scheme val="minor"/>
      </rPr>
      <t>CO2-Kulturrechner 2023</t>
    </r>
  </si>
  <si>
    <r>
      <t xml:space="preserve">In Kooperation mit einem Expertengremium wurde ein bundeseinheitlicher </t>
    </r>
    <r>
      <rPr>
        <b/>
        <sz val="11"/>
        <color theme="1"/>
        <rFont val="Calibri"/>
        <family val="2"/>
        <scheme val="minor"/>
      </rPr>
      <t>CO</t>
    </r>
    <r>
      <rPr>
        <b/>
        <vertAlign val="subscript"/>
        <sz val="11"/>
        <color theme="1"/>
        <rFont val="Calibri"/>
        <family val="2"/>
        <scheme val="minor"/>
      </rPr>
      <t>2</t>
    </r>
    <r>
      <rPr>
        <b/>
        <sz val="11"/>
        <color theme="1"/>
        <rFont val="Calibri"/>
        <family val="2"/>
        <scheme val="minor"/>
      </rPr>
      <t>-Bilanzierungstandard für Kultureinrichtungen 
(CO</t>
    </r>
    <r>
      <rPr>
        <b/>
        <vertAlign val="subscript"/>
        <sz val="11"/>
        <color theme="1"/>
        <rFont val="Calibri"/>
        <family val="2"/>
        <scheme val="minor"/>
      </rPr>
      <t>2</t>
    </r>
    <r>
      <rPr>
        <b/>
        <sz val="11"/>
        <color theme="1"/>
        <rFont val="Calibri"/>
        <family val="2"/>
        <scheme val="minor"/>
      </rPr>
      <t xml:space="preserve">-Kulturstandard) </t>
    </r>
    <r>
      <rPr>
        <sz val="11"/>
        <color theme="1"/>
        <rFont val="Calibri"/>
        <family val="2"/>
        <scheme val="minor"/>
      </rPr>
      <t>entwickelt, orientiert am Greenhouse Gas Protocol (GHG Protocol). Der CO2-Bilanzierungsstandard einschließlich CO2-Kulturrechner und Anleitung zum CO2-Kulturrechner wurde im Kulturpolitischen Spitzengespräch am 11. Oktober 2023 von Bund, Ländern und Kommunen mitgetragen und zur Anwendung im Kulturbereich empfohlen.
Dieses Tool dient der Berechnung des CO</t>
    </r>
    <r>
      <rPr>
        <vertAlign val="subscript"/>
        <sz val="11"/>
        <color theme="1"/>
        <rFont val="Calibri"/>
        <family val="2"/>
        <scheme val="minor"/>
      </rPr>
      <t>2</t>
    </r>
    <r>
      <rPr>
        <sz val="11"/>
        <color theme="1"/>
        <rFont val="Calibri"/>
        <family val="2"/>
        <scheme val="minor"/>
      </rPr>
      <t>-Fußabdrucks von Kultureinrichtungen gemäß dem CO</t>
    </r>
    <r>
      <rPr>
        <vertAlign val="subscript"/>
        <sz val="11"/>
        <color theme="1"/>
        <rFont val="Calibri"/>
        <family val="2"/>
        <scheme val="minor"/>
      </rPr>
      <t>2</t>
    </r>
    <r>
      <rPr>
        <sz val="11"/>
        <color theme="1"/>
        <rFont val="Calibri"/>
        <family val="2"/>
        <scheme val="minor"/>
      </rPr>
      <t xml:space="preserve">-Kulturstandard.
Weitere Informationen zum Bilanzierungsstandard finden Sie im Standarddokument.
</t>
    </r>
  </si>
  <si>
    <t>Änderung</t>
  </si>
  <si>
    <t>Zusammenfassung der wichtigsten Änderungen</t>
  </si>
  <si>
    <t>- neue Emissionsquelle: "Flüssiggas" (in kWh und M3)</t>
  </si>
  <si>
    <t>- neue Emissionsquelle: "Straße: LKW Durchschnitt"
- neue Emissionsquelle: "Schiene: Zug Durchschnitt"</t>
  </si>
  <si>
    <t>- Erfassung nun auch über Masseneinheit (Tonnen) möglich
- neue Emissionsquelle: "Elektroschrott (IT-Hardware, t)"
- neue Emissionsquelle: "Elektroschrott (ohne IT-Hardware, t)"</t>
  </si>
  <si>
    <t>Erdgas (in m3)</t>
  </si>
  <si>
    <t>m3</t>
  </si>
  <si>
    <t>Biomethan (in m3)</t>
  </si>
  <si>
    <t>Fehlerkorrektur</t>
  </si>
  <si>
    <t>NA</t>
  </si>
  <si>
    <t>neuer Faktor</t>
  </si>
  <si>
    <t>Anpassung der Quelle auf aktuellere Quelle IPCC AR6</t>
  </si>
  <si>
    <t>neue aktuellere Datenquelle</t>
  </si>
  <si>
    <t>Altholz (m3)</t>
  </si>
  <si>
    <t>Metallschrott (m3)</t>
  </si>
  <si>
    <t>Baumischabfall (m3)</t>
  </si>
  <si>
    <t>Sperrmüll (m3)</t>
  </si>
  <si>
    <t>Papiermüll (m3)</t>
  </si>
  <si>
    <t>Plastikmüll (m3)</t>
  </si>
  <si>
    <t>Restmüll (m3)</t>
  </si>
  <si>
    <t>Biomüll (m3)</t>
  </si>
  <si>
    <t>Altglas (m3)</t>
  </si>
  <si>
    <t>KlimAktiv-Berechnung auf Basis UBA Climate Change 49/2023: Emissionsbilanz erneuerbarer Energieträger: Bestimmung der vermiedenen Emissionen im Jahr 2022 (UBA 2023)</t>
  </si>
  <si>
    <t>Umrechnungsfaktor Heizwert -&gt; Brennwert = 0,903</t>
  </si>
  <si>
    <t>Umrechnungsfaktor Heizwert -&gt; Brennwert = 0,903; Umrechnung in m3 auf Basis  Merkblatt zur Ermittlung des Gesamtenergieverbrauchs (BAFA 2020); Umrechnungsfaktor für Erdgas: 10,78 kWh/m3</t>
  </si>
  <si>
    <t>KlimAktiv-Berechnung auf Basis UBA Climate Change 49/2023: Emissionsbilanz erneuerbarer Energieträger: Bestimmung der vermiedenen Emissionen im Jahr 2022 (UBA 2023), gewichteter Mittelwert der direkten Emissionen von Biomethan aus Tab. 88 und 89 (Gewichtung auf Basis Erzeugungsmix)</t>
  </si>
  <si>
    <t>KlimAktiv-Berechnung auf Basis UBA Climate Change 49/2023: Emissionsbilanz erneuerbarer Energieträger: Bestimmung der vermiedenen Emissionen im Jahr 2022 (UBA 2023), gewichteter Mittelwert der Emissionen (Vorkette + fremde Hilfsenerige) von Biomethan aus Tab. 88 und 89 (Gewichtung auf Basis Erzeugungsmix)</t>
  </si>
  <si>
    <t>Umrechnungsfaktor kWh -&gt; L = 9,9918 kWh/L</t>
  </si>
  <si>
    <t>KlimAktiv-Berechnung auf Basis Monitoring Verordnung 2021-2030 (DEHST 2021)</t>
  </si>
  <si>
    <t>GEMIS 5.0</t>
  </si>
  <si>
    <t>Annahme: 100% Propan</t>
  </si>
  <si>
    <t>Annahme: 100% Propan, Umrechnungsfaktor kWh -&gt; L (über Brennwert) = 6,9736</t>
  </si>
  <si>
    <t>UBA Climate Change 50/2022: Emissionsbilanz erneuerbarer Energieträger: Bestimmung der vermiedenen Emissionen im Jahr 2021</t>
  </si>
  <si>
    <t>UBA Climate Change 49/2023: Emissionsbilanz erneuerbarer Energieträger: Bestimmung der vermiedenen Emissionen im Jahr 2022 (UBA 2023)</t>
  </si>
  <si>
    <t>fossiler Durchschnitt, daher konservative Annahme</t>
  </si>
  <si>
    <t>Umrechnungsfaktor kWh -&gt; kg = 5 kWh/kg (Heizwert)</t>
  </si>
  <si>
    <t>Stromkennzeichnung nach EnWG §42, Zeitbezug 2022 (BDEW 2023)</t>
  </si>
  <si>
    <t>KlimAktiv-Berechnung auf Basis UBA Climate Change 49/2023: Emissionsbilanz erneuerbarer Energieträger: Bestimmung der vermiedenen Emissionen im Jahr 2022 (UBA 2023), Bundesnetzagentur 2021, GEMIS 5.0</t>
  </si>
  <si>
    <t>UBA Climate Change 49/2023: Emissionsbilanz erneuerbarer Energieträger: Bestimmung der vermiedenen Emissionen im Jahr 2022 (UBA 2023), Abbildung 8, Photovoltaik - Brutto-Vermeidungsfaktor</t>
  </si>
  <si>
    <t>UBA, TREMOD 6.51</t>
  </si>
  <si>
    <t>IPCC, 2021: Climate Change 2021: The Physical Science Basis. Contribution of Working Group I to the Sixth Assessment Report of the Intergovernmental Panel on Climate Change, Chapter 7 Supplementary Material, Table 7.SM.7</t>
  </si>
  <si>
    <t>Refrigeration, Air Conditioning and Heat Pumps Technical Options Committee, Assessment Report 2018</t>
  </si>
  <si>
    <t>KlimAktiv-Berechnung auf Basis von: IPCC, 2021: Climate Change 2021: The Physical Science Basis. Contribution of Working Group I to the Sixth Assessment Report of the Intergovernmental Panel on Climate Change, Chapter 7 Supplementary Material, Table 7.SM.7</t>
  </si>
  <si>
    <t>IPCC, 2021: Climate Change 2021: The Physical Science Basis. Contribution of Working Group I to the Sixth Assessment Report of the Intergovernmental Panel on Climate Change, Chapter 7, Table 7.15</t>
  </si>
  <si>
    <t>UBA, TREMOD 6.51, https://www.umweltbundesamt.de/themen/verkehr/emissionsdaten#verkehrsmittelvergleich_personenverkehr_tabelle, "Pkw"</t>
  </si>
  <si>
    <t>UBA, TREMOD 6.51, https://www.umweltbundesamt.de/themen/verkehr/emissionsdaten#verkehrsmittelvergleich_personenverkehr_tabelle, Mittelwert aus "Linienbus, Nahverkehr", "Eisenbahn, Nahverkehr" und "Straßen-, Stadt- und U-Bahn"</t>
  </si>
  <si>
    <t>UBA, TREMOD 6.51, https://www.umweltbundesamt.de/themen/verkehr/emissionsdaten#verkehrsmittelvergleich_personenverkehr_tabelle, "Linienbus, Ferverkehr"</t>
  </si>
  <si>
    <t>UBA, TREMOD 6.51, https://www.umweltbundesamt.de/themen/verkehr/emissionsdaten#verkehrsmittelvergleich_personenverkehr_tabelle, "Eisenbahn, Fernverkehr"</t>
  </si>
  <si>
    <t>UK Government GHG Conversion Factors for Company Reporting (2023), Version 1.0, Business travel - air, Domestic, average passenger, without RF</t>
  </si>
  <si>
    <t>UK Government GHG Conversion Factors for Company Reporting (2023), Version 1.0, Business travel - air, Short-haul, average passenger, without RF</t>
  </si>
  <si>
    <t>UK Government GHG Conversion Factors for Company Reporting (2023), Version 1.0, Business travel - air, Long-haul, average passenger, without RF</t>
  </si>
  <si>
    <t>KlimAktiv-Berechnung auf Basis Hotel Sustainability Benchmarking Index 2023</t>
  </si>
  <si>
    <t>KlimAktiv-Berechnungen auf Basis UBA (TREMOD 6.51), Bundesministerium für Verkehr und digitale Infrastruktur: Mobilität in Deutschland (MiD) 2017</t>
  </si>
  <si>
    <t>UBA, TREMOD 6.51, https://www.umweltbundesamt.de/themen/verkehr/emissionsdaten#verkehrsmittelvergleich_güterverkehr_tabelle, "LKW gesamt"</t>
  </si>
  <si>
    <t>UBA, TREMOD 6.51, https://www.umweltbundesamt.de/themen/verkehr/emissionsdaten#verkehrsmittelvergleich_güterverkehr_tabelle, "LKW 3,5-7,5 t"</t>
  </si>
  <si>
    <t>UBA, TREMOD 6.51, https://www.umweltbundesamt.de/themen/verkehr/emissionsdaten#verkehrsmittelvergleich_güterverkehr_tabelle, "LKW 7,5-12 t"</t>
  </si>
  <si>
    <t>UBA, TREMOD 6.51, https://www.umweltbundesamt.de/themen/verkehr/emissionsdaten#verkehrsmittelvergleich_güterverkehr_tabelle, "LKW &gt;12 t"</t>
  </si>
  <si>
    <t>UBA, TREMOD 6.51, https://www.umweltbundesamt.de/themen/verkehr/emissionsdaten#verkehrsmittelvergleich_güterverkehr_tabelle, "Last &amp; Sattelzüge"</t>
  </si>
  <si>
    <t>UBA, TREMOD 6.51, https://www.umweltbundesamt.de/themen/verkehr/emissionsdaten#verkehrsmittelvergleich_güterverkehr_tabelle, "Güterbahnen"</t>
  </si>
  <si>
    <t>UBA, TREMOD 6.51, https://www.umweltbundesamt.de/themen/verkehr/emissionsdaten#verkehrsmittelvergleich_güterverkehr_tabelle, "Elektrotraktion"</t>
  </si>
  <si>
    <t>UBA, TREMOD 6.51, https://www.umweltbundesamt.de/themen/verkehr/emissionsdaten#verkehrsmittelvergleich_güterverkehr_tabelle, "Dieseltraktion"</t>
  </si>
  <si>
    <t>DSLV (2013): „Berechnung von Treibhausgasemissionen in Spedition und Logistik gemäß DIN EN 16258“, S.13, Durchschnittsgut</t>
  </si>
  <si>
    <t>DSLV (2013): „Berechnung von Treibhausgasemissionen in Spedition und Logistik gemäß DIN EN 16258“, S.13, Massengut</t>
  </si>
  <si>
    <t>UBA, TREMOD 6.51, https://www.umweltbundesamt.de/themen/verkehr/emissionsdaten#verkehrsmittelvergleich_güterverkehr_tabelle, "Binnenschiffe"</t>
  </si>
  <si>
    <t>DSLV (2013): „Berechnung von Treibhausgasemissionen in Spedition und Logistik gemäß DIN EN 16258“, S.13, Volumengut</t>
  </si>
  <si>
    <t>KlimAktiv-Berechnung auf Basis ADEME Base Carbone V22.0 (2023)</t>
  </si>
  <si>
    <t>Originalfaktor 1,1 kg CO2/300g Buch, Umrechnung auf kg CO2e/kg</t>
  </si>
  <si>
    <t>ADEME Base Carbone V22.0 (2023)</t>
  </si>
  <si>
    <t>Annahme Buchgewicht = 300g</t>
  </si>
  <si>
    <t>MK DiscPress: https://wkdiscpress.de/druckvorlagen/vergleich_ecodisc-dvd_vs_dvd-5.pdf</t>
  </si>
  <si>
    <t>PCF (Rohwaren &amp; Herstellung) einer DVD, Originalfaktor 0,13756 kgCO2e/Stück (16 g), Umrechnung auf kg CO2e/kg</t>
  </si>
  <si>
    <t>PCF (Rohwaren &amp; Herstellung) einer DVD</t>
  </si>
  <si>
    <t>KlimAktiv-Berechnung auf Basis von Öko-Institut (2020): Digitaler CO2-Fußabdruck und Stromkennzeichnung nach EnWG §42, Zeitbezug 2022 (BDEW 2023)</t>
  </si>
  <si>
    <t>Energieverbrauch 0,2628 kWh/GB und Jahr, multipliziert mit Emissionsfaktor des deutschen Strommix (inkl. Vorkette)</t>
  </si>
  <si>
    <t>KlimAktiv Berechnung: Verband der Deutschen Holzwerkstoffindustrie e.V. (VHI), Spanplatte, roh (de),Quelle: Ökobaudat</t>
  </si>
  <si>
    <t>DEFRA: ghg-conversion-factors-2023-full-set: Waste disposal - Construction: Wood - Combustion</t>
  </si>
  <si>
    <t>KlimAktiv Berechnung: Verband der Deutschen Holzwerkstoffindustrie e.V. (VHI), Spanplatte, roh (de),Quelle: Ökobaudat / Abfalldichte: Statistik-BW (Mittelwert)</t>
  </si>
  <si>
    <t>KlimAktiv Berechnung: Zusammenstellung Container 30% Eisenmetall u. 70% Aluminium / Quelle Eisen: Gemis 4.9 Stahl Profil mit 18% Schrottanteil bei Produktion / Quelle Aluminium: oekobau.dat: 4.3.02 Metalle- Aluminium -Aluminiumprofil Phase A1 - A3</t>
  </si>
  <si>
    <t>DEFRA: ghg-conversion-factors-2023-full-set: Waste disposal - Construction: Metal - Closed-loop</t>
  </si>
  <si>
    <t>KlimAktiv Berechnung: Zusammenstellung Container 30% Eisenmetall u. 70% Aluminium / Quelle Eisen: Gemis 4.9 Stahl Profil mit 18% Schrottanteil bei Produktion / Quelle Aluminium: oekobau.dat: 4.3.02 Metalle- Aluminium -Aluminiumprofil Phase A1 - A3/ Abfalldichte: Statistik-BW Metallschrott lose</t>
  </si>
  <si>
    <t>KlimAktiv Berechnung: Zusammenstellung Container 30% Gips, 20% Glas, 50 % Kunstoffmix aus Kanälen und Bodenbelägen, Quelle Materialien: oekobau.dat Phase A1 - A3</t>
  </si>
  <si>
    <t>DEFRA: ghg-conversion-factors-2023-full-set: Waste disposal - Construction: Average Construction - Combustion</t>
  </si>
  <si>
    <t>KlimAktiv Berechnung: Zusammenstellung Container 30% Gips, 20% Glas, 50 % Kunstoffmix aus Kanälen und Bodenbelägen, Quelle Materialien: oekobau.dat Phase A1 - A3/ Abfalldichte: Statistik-BW Bauschutt</t>
  </si>
  <si>
    <t>KlimAktiv Berechnung: Zusammenstellung Container aus 5 unterschiedlichen Einrichtungsgegenständen, Quelle Materialien: The Carbon Footprint of Furniture Helene Jortveit Lauvland Master’s thesis in Energy and Environmental engineering Supervisor: Johan Berg Pettersen January 2021</t>
  </si>
  <si>
    <t>KlimAktiv Berechnung: Zusammenstellung Container aus 5 unterschiedlichen Einrichtungsgegenständen, Quelle Materialien: The Carbon Footprint of Furniture Helene Jortveit Lauvland Master’s thesis in Energy and Environmental engineering Supervisor: Johan Berg Pettersen January 2021 / Abfalldichte: Statistik-BW Sperrmüll lose unzerkleinert</t>
  </si>
  <si>
    <t xml:space="preserve">KlimAktiv Berechnung: Zusammenstellung Container 30% Desktop-PCs, 30% Displays, 30% Laptops, 10% Drucker, Quelle Materialien: Singh &amp; Ogunseitan (2022) Distentangling the worldwide web of e-waste and climate chnage co-benefits, Circular Economy </t>
  </si>
  <si>
    <t>DEFRA: ghg-conversion-factors-2023-full-set: Waste disposal - Electrical items: WEEE - mixed - Open-loop</t>
  </si>
  <si>
    <t>KlimAktiv Berechnung: Zusammenstellung Container 50% Kabel, 50% Leuchtstoffröhren, Quelle Materialien: ÖKOBAUDAT</t>
  </si>
  <si>
    <t>DEFRA: ghg-conversion-factors-2023-full-set: Waste disposal - Paper and board: mixed - Closed-loop</t>
  </si>
  <si>
    <t>DEFRA: ghg-conversion-factors-2023-full-set: Waste disposal - Plastics: average plastics - Closed-loop</t>
  </si>
  <si>
    <t>DEFRA: ghg-conversion-factors-2023-full-set: Waste disposal - Household residual waste - Combustion</t>
  </si>
  <si>
    <t>DEFRA: ghg-conversion-factors-2023-full-set: Waste disposal - Organic: food and drink waste - Composting</t>
  </si>
  <si>
    <t>DEFRA: ghg-conversion-factors-2023-full-set: Waste disposal - Glass - Closed-loop</t>
  </si>
  <si>
    <t>Aktualisierung der Emissionsfaktoren für Bilanzjahr 2023 (CO2-Kulturrechner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</si>
</sst>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0"/>
  </numFmts>
  <fonts count="54" x14ac:knownFonts="1">
    <font>
      <sz val="11"/>
      <color theme="1"/>
      <name val="Calibri"/>
      <family val="2"/>
      <scheme val="minor"/>
    </font>
    <font>
      <b/>
      <sz val="11"/>
      <color theme="1"/>
      <name val="Calibri"/>
      <family val="2"/>
      <scheme val="minor"/>
    </font>
    <font>
      <sz val="8"/>
      <name val="Calibri"/>
      <family val="2"/>
      <scheme val="minor"/>
    </font>
    <font>
      <b/>
      <sz val="14"/>
      <color theme="1"/>
      <name val="Calibri"/>
      <family val="2"/>
      <scheme val="minor"/>
    </font>
    <font>
      <u/>
      <sz val="11"/>
      <color theme="10"/>
      <name val="Calibri"/>
      <family val="2"/>
      <scheme val="minor"/>
    </font>
    <font>
      <sz val="11"/>
      <name val="Calibri"/>
      <family val="2"/>
      <scheme val="minor"/>
    </font>
    <font>
      <b/>
      <vertAlign val="subscript"/>
      <sz val="11"/>
      <color theme="1"/>
      <name val="Calibri"/>
      <family val="2"/>
      <scheme val="minor"/>
    </font>
    <font>
      <i/>
      <sz val="11"/>
      <color theme="5"/>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i/>
      <sz val="11"/>
      <color theme="5"/>
      <name val="Calibri"/>
      <family val="2"/>
      <scheme val="minor"/>
    </font>
    <font>
      <b/>
      <vertAlign val="superscript"/>
      <sz val="11"/>
      <color theme="1"/>
      <name val="Calibri"/>
      <family val="2"/>
      <scheme val="minor"/>
    </font>
    <font>
      <b/>
      <sz val="14"/>
      <color theme="5"/>
      <name val="Calibri"/>
      <family val="2"/>
      <scheme val="minor"/>
    </font>
    <font>
      <sz val="1"/>
      <color theme="5"/>
      <name val="Calibri"/>
      <family val="2"/>
      <scheme val="minor"/>
    </font>
    <font>
      <b/>
      <sz val="12"/>
      <color theme="5"/>
      <name val="Calibri"/>
      <family val="2"/>
      <scheme val="minor"/>
    </font>
    <font>
      <b/>
      <u/>
      <sz val="11"/>
      <color theme="1"/>
      <name val="Calibri"/>
      <family val="2"/>
      <scheme val="minor"/>
    </font>
    <font>
      <b/>
      <sz val="11"/>
      <color theme="5"/>
      <name val="Calibri"/>
      <family val="2"/>
      <scheme val="minor"/>
    </font>
    <font>
      <b/>
      <sz val="16"/>
      <color theme="5"/>
      <name val="Calibri"/>
      <family val="2"/>
      <scheme val="minor"/>
    </font>
    <font>
      <b/>
      <sz val="14"/>
      <color theme="3"/>
      <name val="Calibri"/>
      <family val="2"/>
      <scheme val="minor"/>
    </font>
    <font>
      <b/>
      <sz val="11"/>
      <name val="Calibri"/>
      <family val="2"/>
      <scheme val="minor"/>
    </font>
    <font>
      <sz val="11"/>
      <color theme="1"/>
      <name val="Calibri"/>
      <family val="2"/>
      <scheme val="minor"/>
    </font>
    <font>
      <vertAlign val="subscript"/>
      <sz val="11"/>
      <color theme="1"/>
      <name val="Calibri"/>
      <family val="2"/>
      <scheme val="minor"/>
    </font>
    <font>
      <sz val="11"/>
      <color theme="5"/>
      <name val="Calibri"/>
      <family val="2"/>
      <scheme val="minor"/>
    </font>
    <font>
      <b/>
      <sz val="12"/>
      <name val="Calibri"/>
      <family val="2"/>
      <scheme val="minor"/>
    </font>
    <font>
      <b/>
      <vertAlign val="subscript"/>
      <sz val="12"/>
      <name val="Calibri"/>
      <family val="2"/>
      <scheme val="minor"/>
    </font>
    <font>
      <b/>
      <sz val="11"/>
      <color theme="3"/>
      <name val="Calibri"/>
      <family val="2"/>
      <scheme val="minor"/>
    </font>
    <font>
      <sz val="11"/>
      <color theme="3"/>
      <name val="Calibri"/>
      <family val="2"/>
      <scheme val="minor"/>
    </font>
    <font>
      <i/>
      <sz val="11"/>
      <color theme="3"/>
      <name val="Calibri"/>
      <family val="2"/>
      <scheme val="minor"/>
    </font>
    <font>
      <vertAlign val="superscript"/>
      <sz val="11"/>
      <color theme="1"/>
      <name val="Calibri"/>
      <family val="2"/>
      <scheme val="minor"/>
    </font>
    <font>
      <b/>
      <sz val="14"/>
      <name val="Calibri"/>
      <family val="2"/>
      <scheme val="minor"/>
    </font>
    <font>
      <b/>
      <vertAlign val="subscript"/>
      <sz val="11"/>
      <name val="Calibri"/>
      <family val="2"/>
      <scheme val="minor"/>
    </font>
    <font>
      <sz val="1"/>
      <name val="Calibri"/>
      <family val="2"/>
      <scheme val="minor"/>
    </font>
    <font>
      <b/>
      <sz val="14"/>
      <color rgb="FF4472C4"/>
      <name val="Calibri"/>
      <family val="2"/>
      <scheme val="minor"/>
    </font>
    <font>
      <i/>
      <sz val="11"/>
      <name val="Calibri"/>
      <family val="2"/>
      <scheme val="minor"/>
    </font>
    <font>
      <b/>
      <i/>
      <sz val="11"/>
      <name val="Calibri"/>
      <family val="2"/>
      <scheme val="minor"/>
    </font>
    <font>
      <b/>
      <i/>
      <sz val="11"/>
      <color rgb="FF4472C4"/>
      <name val="Calibri"/>
      <family val="2"/>
      <scheme val="minor"/>
    </font>
    <font>
      <b/>
      <u/>
      <sz val="11"/>
      <color theme="5"/>
      <name val="Calibri"/>
      <family val="2"/>
      <scheme val="minor"/>
    </font>
    <font>
      <i/>
      <vertAlign val="subscript"/>
      <sz val="11"/>
      <name val="Calibri"/>
      <family val="2"/>
      <scheme val="minor"/>
    </font>
    <font>
      <b/>
      <vertAlign val="superscript"/>
      <sz val="11"/>
      <name val="Calibri"/>
      <family val="2"/>
      <scheme val="minor"/>
    </font>
    <font>
      <b/>
      <sz val="11"/>
      <color rgb="FF4472C4"/>
      <name val="Calibri"/>
      <family val="2"/>
      <scheme val="minor"/>
    </font>
    <font>
      <b/>
      <vertAlign val="subscript"/>
      <sz val="14"/>
      <color rgb="FF4472C4"/>
      <name val="Calibri"/>
      <family val="2"/>
      <scheme val="minor"/>
    </font>
    <font>
      <b/>
      <sz val="12"/>
      <color theme="1"/>
      <name val="Calibri"/>
      <family val="2"/>
      <scheme val="minor"/>
    </font>
    <font>
      <b/>
      <u/>
      <sz val="14"/>
      <color theme="5"/>
      <name val="Calibri"/>
      <family val="2"/>
      <scheme val="minor"/>
    </font>
    <font>
      <b/>
      <sz val="16"/>
      <color rgb="FF4472C4"/>
      <name val="Calibri"/>
      <family val="2"/>
      <scheme val="minor"/>
    </font>
    <font>
      <i/>
      <sz val="10"/>
      <color rgb="FF4472C4"/>
      <name val="Calibri"/>
      <family val="2"/>
      <scheme val="minor"/>
    </font>
    <font>
      <b/>
      <sz val="16"/>
      <name val="Calibri"/>
      <family val="2"/>
      <scheme val="minor"/>
    </font>
    <font>
      <sz val="11"/>
      <color rgb="FF4472C4"/>
      <name val="Calibri"/>
      <family val="2"/>
      <scheme val="minor"/>
    </font>
    <font>
      <b/>
      <sz val="14"/>
      <color theme="4"/>
      <name val="Calibri"/>
      <family val="2"/>
      <scheme val="minor"/>
    </font>
    <font>
      <i/>
      <sz val="11"/>
      <color theme="1"/>
      <name val="Calibri"/>
      <family val="2"/>
      <scheme val="minor"/>
    </font>
    <font>
      <b/>
      <i/>
      <u/>
      <sz val="11"/>
      <name val="Calibri"/>
      <family val="2"/>
      <scheme val="minor"/>
    </font>
    <font>
      <b/>
      <u/>
      <sz val="11"/>
      <color theme="0"/>
      <name val="Calibri"/>
      <family val="2"/>
      <scheme val="minor"/>
    </font>
    <font>
      <b/>
      <u/>
      <sz val="14"/>
      <color theme="1"/>
      <name val="Calibri"/>
      <family val="2"/>
      <scheme val="minor"/>
    </font>
    <font>
      <u/>
      <sz val="11"/>
      <color theme="1"/>
      <name val="Calibri"/>
      <family val="2"/>
      <scheme val="minor"/>
    </font>
  </fonts>
  <fills count="39">
    <fill>
      <patternFill patternType="none"/>
    </fill>
    <fill>
      <patternFill patternType="gray125"/>
    </fill>
    <fill>
      <patternFill patternType="solid">
        <fgColor theme="5"/>
        <bgColor indexed="64"/>
      </patternFill>
    </fill>
    <fill>
      <patternFill patternType="solid">
        <fgColor theme="5"/>
        <bgColor theme="5"/>
      </patternFill>
    </fill>
    <fill>
      <patternFill patternType="solid">
        <fgColor theme="5" tint="0.79998168889431442"/>
        <bgColor theme="5" tint="0.79998168889431442"/>
      </patternFill>
    </fill>
    <fill>
      <patternFill patternType="lightUp"/>
    </fill>
    <fill>
      <patternFill patternType="solid">
        <fgColor theme="1"/>
        <bgColor indexed="64"/>
      </patternFill>
    </fill>
    <fill>
      <patternFill patternType="solid">
        <fgColor theme="9"/>
        <bgColor indexed="64"/>
      </patternFill>
    </fill>
    <fill>
      <patternFill patternType="solid">
        <fgColor theme="0"/>
        <bgColor indexed="64"/>
      </patternFill>
    </fill>
    <fill>
      <patternFill patternType="solid">
        <fgColor theme="7"/>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bgColor theme="4"/>
      </patternFill>
    </fill>
    <fill>
      <patternFill patternType="solid">
        <fgColor rgb="FF5ABEFF"/>
        <bgColor indexed="64"/>
      </patternFill>
    </fill>
    <fill>
      <patternFill patternType="solid">
        <fgColor rgb="FF5ABEFF"/>
        <bgColor rgb="FF5ABEFF"/>
      </patternFill>
    </fill>
    <fill>
      <patternFill patternType="solid">
        <fgColor rgb="FFB7E2FF"/>
        <bgColor theme="4" tint="0.59999389629810485"/>
      </patternFill>
    </fill>
    <fill>
      <patternFill patternType="solid">
        <fgColor rgb="FFEBF6FF"/>
        <bgColor theme="4" tint="0.79998168889431442"/>
      </patternFill>
    </fill>
    <fill>
      <patternFill patternType="solid">
        <fgColor rgb="FF4472C4"/>
        <bgColor indexed="64"/>
      </patternFill>
    </fill>
    <fill>
      <patternFill patternType="solid">
        <fgColor rgb="FFBBE8FF"/>
        <bgColor indexed="64"/>
      </patternFill>
    </fill>
    <fill>
      <patternFill patternType="solid">
        <fgColor theme="3" tint="0.79998168889431442"/>
        <bgColor indexed="64"/>
      </patternFill>
    </fill>
    <fill>
      <patternFill patternType="solid">
        <fgColor rgb="FFBBE8FF"/>
        <bgColor rgb="FF5ABEFF"/>
      </patternFill>
    </fill>
    <fill>
      <patternFill patternType="solid">
        <fgColor rgb="FFDDF4FF"/>
        <bgColor theme="4" tint="0.59999389629810485"/>
      </patternFill>
    </fill>
    <fill>
      <patternFill patternType="solid">
        <fgColor rgb="FFF3F9FF"/>
        <bgColor theme="4" tint="0.79998168889431442"/>
      </patternFill>
    </fill>
    <fill>
      <patternFill patternType="solid">
        <fgColor indexed="65"/>
        <bgColor indexed="64"/>
      </patternFill>
    </fill>
    <fill>
      <patternFill patternType="lightUp">
        <bgColor rgb="FF4472C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C7ABFF"/>
        <bgColor indexed="64"/>
      </patternFill>
    </fill>
    <fill>
      <patternFill patternType="solid">
        <fgColor theme="4"/>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theme="6"/>
      </patternFill>
    </fill>
    <fill>
      <patternFill patternType="solid">
        <fgColor theme="6" tint="0.79998168889431442"/>
        <bgColor indexed="64"/>
      </patternFill>
    </fill>
    <fill>
      <patternFill patternType="solid">
        <fgColor theme="6"/>
        <bgColor indexed="64"/>
      </patternFill>
    </fill>
  </fills>
  <borders count="69">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theme="5" tint="0.39997558519241921"/>
      </top>
      <bottom style="thin">
        <color theme="5" tint="0.39997558519241921"/>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style="thin">
        <color theme="5" tint="0.39997558519241921"/>
      </right>
      <top style="thin">
        <color theme="5" tint="0.39997558519241921"/>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medium">
        <color indexed="64"/>
      </right>
      <top style="medium">
        <color indexed="64"/>
      </top>
      <bottom style="medium">
        <color indexed="64"/>
      </bottom>
      <diagonal/>
    </border>
    <border>
      <left/>
      <right/>
      <top/>
      <bottom style="medium">
        <color rgb="FFFFFFF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diagonal/>
    </border>
    <border>
      <left style="thin">
        <color theme="0"/>
      </left>
      <right/>
      <top/>
      <bottom/>
      <diagonal/>
    </border>
    <border>
      <left style="thin">
        <color theme="0"/>
      </left>
      <right/>
      <top style="thick">
        <color theme="0"/>
      </top>
      <bottom/>
      <diagonal/>
    </border>
    <border>
      <left/>
      <right/>
      <top style="thick">
        <color theme="0"/>
      </top>
      <bottom/>
      <diagonal/>
    </border>
    <border>
      <left/>
      <right/>
      <top style="thin">
        <color theme="0"/>
      </top>
      <bottom/>
      <diagonal/>
    </border>
    <border>
      <left style="thin">
        <color theme="0"/>
      </left>
      <right style="thin">
        <color theme="0"/>
      </right>
      <top/>
      <bottom/>
      <diagonal/>
    </border>
    <border>
      <left/>
      <right style="thin">
        <color theme="0"/>
      </right>
      <top/>
      <bottom style="thick">
        <color theme="0"/>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medium">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top/>
      <bottom style="thin">
        <color theme="0"/>
      </bottom>
      <diagonal/>
    </border>
    <border>
      <left style="thin">
        <color rgb="FF4472C4"/>
      </left>
      <right style="thin">
        <color rgb="FF4472C4"/>
      </right>
      <top style="thin">
        <color rgb="FF4472C4"/>
      </top>
      <bottom style="thin">
        <color rgb="FF4472C4"/>
      </bottom>
      <diagonal/>
    </border>
    <border>
      <left style="thin">
        <color rgb="FF4472C4"/>
      </left>
      <right/>
      <top style="thin">
        <color rgb="FF4472C4"/>
      </top>
      <bottom style="thin">
        <color rgb="FF4472C4"/>
      </bottom>
      <diagonal/>
    </border>
    <border>
      <left/>
      <right/>
      <top style="thin">
        <color rgb="FF4472C4"/>
      </top>
      <bottom style="thin">
        <color rgb="FF4472C4"/>
      </bottom>
      <diagonal/>
    </border>
    <border>
      <left/>
      <right style="thin">
        <color rgb="FF4472C4"/>
      </right>
      <top style="thin">
        <color rgb="FF4472C4"/>
      </top>
      <bottom style="thin">
        <color rgb="FF4472C4"/>
      </bottom>
      <diagonal/>
    </border>
    <border>
      <left style="thin">
        <color indexed="64"/>
      </left>
      <right style="thin">
        <color rgb="FF4472C4"/>
      </right>
      <top style="thin">
        <color indexed="64"/>
      </top>
      <bottom style="thin">
        <color indexed="64"/>
      </bottom>
      <diagonal/>
    </border>
    <border>
      <left style="thin">
        <color rgb="FF4472C4"/>
      </left>
      <right style="thin">
        <color rgb="FF4472C4"/>
      </right>
      <top style="thin">
        <color indexed="64"/>
      </top>
      <bottom style="thin">
        <color indexed="64"/>
      </bottom>
      <diagonal/>
    </border>
    <border>
      <left style="thin">
        <color rgb="FF4472C4"/>
      </left>
      <right style="thin">
        <color indexed="64"/>
      </right>
      <top style="thin">
        <color indexed="64"/>
      </top>
      <bottom style="thin">
        <color indexed="64"/>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left>
      <right style="thin">
        <color theme="0"/>
      </right>
      <top/>
      <bottom style="thick">
        <color theme="0"/>
      </bottom>
      <diagonal/>
    </border>
    <border>
      <left/>
      <right style="thin">
        <color theme="0"/>
      </right>
      <top/>
      <bottom/>
      <diagonal/>
    </border>
  </borders>
  <cellStyleXfs count="3">
    <xf numFmtId="0" fontId="0" fillId="0" borderId="0"/>
    <xf numFmtId="0" fontId="4" fillId="0" borderId="0" applyNumberFormat="0" applyFill="0" applyBorder="0" applyAlignment="0" applyProtection="0"/>
    <xf numFmtId="43" fontId="21" fillId="0" borderId="0" applyFont="0" applyFill="0" applyBorder="0" applyAlignment="0" applyProtection="0"/>
  </cellStyleXfs>
  <cellXfs count="488">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1" fillId="0" borderId="0" xfId="0" applyFont="1" applyAlignment="1">
      <alignment horizontal="left" vertical="top" wrapText="1"/>
    </xf>
    <xf numFmtId="0" fontId="3" fillId="0" borderId="0" xfId="0" applyFont="1"/>
    <xf numFmtId="0" fontId="0" fillId="0" borderId="0" xfId="0" applyAlignment="1">
      <alignment horizontal="left"/>
    </xf>
    <xf numFmtId="0" fontId="0" fillId="0" borderId="9" xfId="0" applyBorder="1"/>
    <xf numFmtId="0" fontId="5" fillId="0" borderId="0" xfId="0" applyFont="1"/>
    <xf numFmtId="0" fontId="0" fillId="0" borderId="0" xfId="0" applyAlignment="1">
      <alignment vertical="center"/>
    </xf>
    <xf numFmtId="0" fontId="0" fillId="0" borderId="0" xfId="0" applyAlignment="1">
      <alignment vertical="top" wrapText="1"/>
    </xf>
    <xf numFmtId="0" fontId="7" fillId="0" borderId="0" xfId="0" applyFont="1" applyAlignment="1">
      <alignment horizontal="left" vertical="center"/>
    </xf>
    <xf numFmtId="0" fontId="9" fillId="0" borderId="0" xfId="0" applyFont="1"/>
    <xf numFmtId="0" fontId="3" fillId="0" borderId="0" xfId="0" applyFont="1" applyAlignment="1">
      <alignment horizontal="center" vertical="center" textRotation="90"/>
    </xf>
    <xf numFmtId="0" fontId="3" fillId="0" borderId="0" xfId="0" applyFont="1" applyAlignment="1">
      <alignment horizontal="center" vertical="center" textRotation="90" wrapText="1"/>
    </xf>
    <xf numFmtId="0" fontId="0" fillId="0" borderId="0" xfId="0" applyAlignment="1">
      <alignment vertical="top"/>
    </xf>
    <xf numFmtId="0" fontId="13" fillId="0" borderId="0" xfId="0" applyFont="1"/>
    <xf numFmtId="0" fontId="15" fillId="0" borderId="0" xfId="0" applyFont="1" applyAlignment="1">
      <alignment horizontal="left"/>
    </xf>
    <xf numFmtId="0" fontId="0" fillId="4" borderId="13" xfId="0" applyFill="1" applyBorder="1"/>
    <xf numFmtId="0" fontId="0" fillId="0" borderId="13" xfId="0" applyBorder="1"/>
    <xf numFmtId="49" fontId="8" fillId="3" borderId="14" xfId="0" applyNumberFormat="1" applyFont="1" applyFill="1" applyBorder="1" applyAlignment="1">
      <alignment horizontal="left" vertical="top" wrapText="1"/>
    </xf>
    <xf numFmtId="0" fontId="0" fillId="4" borderId="14" xfId="0" applyFill="1" applyBorder="1"/>
    <xf numFmtId="0" fontId="0" fillId="0" borderId="14" xfId="0" applyBorder="1"/>
    <xf numFmtId="0" fontId="8" fillId="3" borderId="14" xfId="0" applyFont="1" applyFill="1" applyBorder="1" applyAlignment="1">
      <alignment horizontal="left" vertical="top" wrapText="1"/>
    </xf>
    <xf numFmtId="0" fontId="0" fillId="4" borderId="14" xfId="0" applyFill="1" applyBorder="1" applyAlignment="1">
      <alignment horizontal="left" vertical="top" wrapText="1"/>
    </xf>
    <xf numFmtId="0" fontId="10" fillId="0" borderId="0" xfId="0" applyFont="1" applyAlignment="1">
      <alignment horizontal="left" vertical="top"/>
    </xf>
    <xf numFmtId="0" fontId="8" fillId="3" borderId="14" xfId="0" applyFont="1" applyFill="1" applyBorder="1"/>
    <xf numFmtId="0" fontId="1" fillId="0" borderId="0" xfId="0" applyFont="1" applyAlignment="1">
      <alignment vertical="top" wrapText="1"/>
    </xf>
    <xf numFmtId="0" fontId="7" fillId="0" borderId="0" xfId="0" applyFont="1" applyAlignment="1">
      <alignment horizontal="left" vertical="center" wrapText="1"/>
    </xf>
    <xf numFmtId="0" fontId="7" fillId="0" borderId="0" xfId="0" applyFont="1" applyAlignment="1">
      <alignment horizontal="left" vertical="top" wrapText="1"/>
    </xf>
    <xf numFmtId="0" fontId="17" fillId="0" borderId="0" xfId="0" applyFont="1" applyAlignment="1">
      <alignment horizontal="left"/>
    </xf>
    <xf numFmtId="0" fontId="7" fillId="0" borderId="0" xfId="0" applyFont="1" applyAlignment="1">
      <alignment vertical="center" wrapText="1"/>
    </xf>
    <xf numFmtId="0" fontId="17" fillId="0" borderId="0" xfId="0" applyFont="1" applyAlignment="1">
      <alignment horizontal="left" vertical="center"/>
    </xf>
    <xf numFmtId="0" fontId="18" fillId="0" borderId="0" xfId="0" applyFont="1" applyAlignment="1">
      <alignment vertical="center"/>
    </xf>
    <xf numFmtId="0" fontId="0" fillId="6" borderId="0" xfId="0" applyFill="1"/>
    <xf numFmtId="0" fontId="0" fillId="6" borderId="0" xfId="0" applyFill="1" applyAlignment="1">
      <alignment vertical="top"/>
    </xf>
    <xf numFmtId="0" fontId="0" fillId="6" borderId="0" xfId="0" applyFill="1" applyAlignment="1">
      <alignment vertical="top" wrapText="1"/>
    </xf>
    <xf numFmtId="0" fontId="5" fillId="6" borderId="0" xfId="0" applyFont="1" applyFill="1"/>
    <xf numFmtId="0" fontId="8" fillId="3" borderId="13" xfId="0" applyFont="1" applyFill="1" applyBorder="1"/>
    <xf numFmtId="0" fontId="9" fillId="0" borderId="0" xfId="0" applyFont="1" applyAlignment="1">
      <alignment vertical="center"/>
    </xf>
    <xf numFmtId="0" fontId="0" fillId="0" borderId="23" xfId="0" applyBorder="1"/>
    <xf numFmtId="0" fontId="0" fillId="0" borderId="24" xfId="0" applyBorder="1"/>
    <xf numFmtId="0" fontId="19" fillId="0" borderId="0" xfId="0" applyFont="1" applyAlignment="1">
      <alignment vertical="center"/>
    </xf>
    <xf numFmtId="0" fontId="0" fillId="0" borderId="23" xfId="0" applyBorder="1" applyAlignment="1">
      <alignment vertical="center"/>
    </xf>
    <xf numFmtId="0" fontId="0" fillId="0" borderId="0" xfId="0" applyAlignment="1">
      <alignment vertical="center" wrapText="1"/>
    </xf>
    <xf numFmtId="0" fontId="5" fillId="0" borderId="0" xfId="0" applyFont="1" applyAlignment="1">
      <alignment vertical="center"/>
    </xf>
    <xf numFmtId="0" fontId="0" fillId="0" borderId="24" xfId="0" applyBorder="1" applyAlignment="1">
      <alignment vertical="center"/>
    </xf>
    <xf numFmtId="0" fontId="10" fillId="0" borderId="0" xfId="0" applyFont="1" applyAlignment="1">
      <alignment vertical="top"/>
    </xf>
    <xf numFmtId="0" fontId="10" fillId="0" borderId="0" xfId="0" applyFont="1"/>
    <xf numFmtId="0" fontId="0" fillId="0" borderId="25" xfId="0" applyBorder="1"/>
    <xf numFmtId="0" fontId="0" fillId="0" borderId="18" xfId="0" applyBorder="1" applyAlignment="1">
      <alignment vertical="top"/>
    </xf>
    <xf numFmtId="0" fontId="0" fillId="0" borderId="18" xfId="0" applyBorder="1" applyAlignment="1">
      <alignment vertical="top" wrapText="1"/>
    </xf>
    <xf numFmtId="0" fontId="0" fillId="0" borderId="18" xfId="0" applyBorder="1"/>
    <xf numFmtId="0" fontId="5" fillId="0" borderId="18" xfId="0" applyFont="1" applyBorder="1"/>
    <xf numFmtId="0" fontId="0" fillId="0" borderId="26" xfId="0" applyBorder="1"/>
    <xf numFmtId="0" fontId="10" fillId="0" borderId="0" xfId="0" applyFont="1" applyAlignment="1">
      <alignment vertical="center"/>
    </xf>
    <xf numFmtId="0" fontId="0" fillId="0" borderId="15" xfId="0" applyBorder="1"/>
    <xf numFmtId="0" fontId="0" fillId="0" borderId="16" xfId="0" applyBorder="1"/>
    <xf numFmtId="0" fontId="23" fillId="0" borderId="0" xfId="0" applyFont="1"/>
    <xf numFmtId="0" fontId="11" fillId="0" borderId="0" xfId="0" applyFont="1" applyAlignment="1">
      <alignment horizontal="left" vertical="center"/>
    </xf>
    <xf numFmtId="0" fontId="1" fillId="0" borderId="0" xfId="0" applyFont="1" applyAlignment="1">
      <alignment vertical="center"/>
    </xf>
    <xf numFmtId="0" fontId="0" fillId="0" borderId="0" xfId="0" applyAlignment="1">
      <alignment horizontal="left" vertical="top" wrapText="1"/>
    </xf>
    <xf numFmtId="0" fontId="16" fillId="8" borderId="17" xfId="0" applyFont="1" applyFill="1" applyBorder="1"/>
    <xf numFmtId="0" fontId="16" fillId="8" borderId="17" xfId="0" applyFont="1" applyFill="1" applyBorder="1" applyAlignment="1">
      <alignment vertical="top"/>
    </xf>
    <xf numFmtId="0" fontId="1" fillId="7" borderId="3" xfId="0" applyFont="1" applyFill="1" applyBorder="1" applyAlignment="1">
      <alignment vertical="center"/>
    </xf>
    <xf numFmtId="0" fontId="1" fillId="9" borderId="3" xfId="0" applyFont="1" applyFill="1" applyBorder="1" applyAlignment="1">
      <alignment vertical="center"/>
    </xf>
    <xf numFmtId="0" fontId="1" fillId="0" borderId="17" xfId="0" applyFont="1" applyBorder="1" applyAlignment="1">
      <alignment vertical="center"/>
    </xf>
    <xf numFmtId="0" fontId="1" fillId="8" borderId="17" xfId="0" applyFont="1" applyFill="1" applyBorder="1"/>
    <xf numFmtId="0" fontId="0" fillId="8" borderId="17" xfId="0" applyFill="1" applyBorder="1"/>
    <xf numFmtId="0" fontId="0" fillId="8" borderId="17" xfId="0" applyFill="1" applyBorder="1" applyAlignment="1">
      <alignment vertical="top"/>
    </xf>
    <xf numFmtId="0" fontId="1" fillId="0" borderId="8" xfId="0" applyFont="1" applyBorder="1" applyAlignment="1">
      <alignment vertical="center"/>
    </xf>
    <xf numFmtId="0" fontId="0" fillId="5" borderId="3" xfId="0" applyFill="1" applyBorder="1"/>
    <xf numFmtId="0" fontId="0" fillId="8" borderId="0" xfId="0" applyFill="1" applyAlignment="1">
      <alignment horizontal="left" wrapText="1"/>
    </xf>
    <xf numFmtId="0" fontId="16" fillId="8" borderId="15" xfId="0" applyFont="1" applyFill="1" applyBorder="1"/>
    <xf numFmtId="0" fontId="16" fillId="8" borderId="15" xfId="0" applyFont="1" applyFill="1" applyBorder="1" applyAlignment="1">
      <alignment vertical="top"/>
    </xf>
    <xf numFmtId="0" fontId="1" fillId="0" borderId="15" xfId="0" applyFont="1" applyBorder="1" applyAlignment="1">
      <alignment vertical="center"/>
    </xf>
    <xf numFmtId="0" fontId="0" fillId="0" borderId="17" xfId="0" applyBorder="1"/>
    <xf numFmtId="0" fontId="0" fillId="8" borderId="1" xfId="0" applyFill="1" applyBorder="1" applyAlignment="1">
      <alignment vertical="top"/>
    </xf>
    <xf numFmtId="0" fontId="1" fillId="0" borderId="17" xfId="0" applyFont="1" applyBorder="1" applyAlignment="1">
      <alignment horizontal="left" vertical="center"/>
    </xf>
    <xf numFmtId="0" fontId="1" fillId="0" borderId="15" xfId="0" applyFont="1" applyBorder="1" applyAlignment="1">
      <alignment horizontal="left" vertical="center"/>
    </xf>
    <xf numFmtId="0" fontId="0" fillId="8" borderId="16" xfId="0" applyFill="1" applyBorder="1" applyAlignment="1">
      <alignment vertical="top"/>
    </xf>
    <xf numFmtId="14" fontId="0" fillId="8" borderId="16" xfId="0" applyNumberFormat="1" applyFill="1" applyBorder="1" applyAlignment="1">
      <alignment horizontal="left" vertical="top"/>
    </xf>
    <xf numFmtId="0" fontId="1" fillId="8" borderId="17"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8" borderId="1" xfId="0" applyFont="1" applyFill="1" applyBorder="1"/>
    <xf numFmtId="0" fontId="28" fillId="0" borderId="0" xfId="0" applyFont="1" applyAlignment="1">
      <alignment vertical="center" wrapText="1"/>
    </xf>
    <xf numFmtId="0" fontId="27" fillId="0" borderId="0" xfId="0" applyFont="1"/>
    <xf numFmtId="0" fontId="28" fillId="0" borderId="0" xfId="0" applyFont="1" applyAlignment="1">
      <alignment horizontal="left" vertical="center"/>
    </xf>
    <xf numFmtId="0" fontId="26" fillId="0" borderId="0" xfId="0" applyFont="1" applyAlignment="1">
      <alignment horizontal="left" vertical="top"/>
    </xf>
    <xf numFmtId="0" fontId="3" fillId="0" borderId="0" xfId="0" applyFont="1" applyAlignment="1">
      <alignment vertical="top"/>
    </xf>
    <xf numFmtId="0" fontId="8" fillId="0" borderId="0" xfId="0" applyFont="1" applyAlignment="1">
      <alignment vertical="center" wrapText="1"/>
    </xf>
    <xf numFmtId="0" fontId="8" fillId="0" borderId="0" xfId="0" applyFont="1" applyAlignment="1">
      <alignment wrapText="1"/>
    </xf>
    <xf numFmtId="0" fontId="0" fillId="0" borderId="0" xfId="0" applyAlignment="1" applyProtection="1">
      <alignment wrapText="1"/>
      <protection locked="0"/>
    </xf>
    <xf numFmtId="0" fontId="0" fillId="0" borderId="0" xfId="0" applyAlignment="1" applyProtection="1">
      <alignment horizontal="left"/>
      <protection locked="0"/>
    </xf>
    <xf numFmtId="49" fontId="0" fillId="0" borderId="0" xfId="0" applyNumberFormat="1" applyAlignment="1" applyProtection="1">
      <alignment wrapText="1"/>
      <protection locked="0"/>
    </xf>
    <xf numFmtId="0" fontId="0" fillId="0" borderId="0" xfId="0" applyProtection="1">
      <protection locked="0"/>
    </xf>
    <xf numFmtId="0" fontId="0" fillId="0" borderId="0" xfId="0" applyAlignment="1" applyProtection="1">
      <alignment vertical="top" wrapText="1"/>
      <protection locked="0"/>
    </xf>
    <xf numFmtId="0" fontId="0" fillId="8" borderId="16" xfId="0" applyFill="1" applyBorder="1" applyAlignment="1">
      <alignment horizontal="left" vertical="top"/>
    </xf>
    <xf numFmtId="0" fontId="0" fillId="8" borderId="2" xfId="0" applyFill="1" applyBorder="1" applyAlignment="1">
      <alignment horizontal="left" vertical="top"/>
    </xf>
    <xf numFmtId="0" fontId="0" fillId="8" borderId="15" xfId="0" applyFill="1" applyBorder="1" applyAlignment="1">
      <alignment horizontal="left" vertical="top"/>
    </xf>
    <xf numFmtId="0" fontId="0" fillId="0" borderId="0" xfId="0" applyAlignment="1" applyProtection="1">
      <alignment vertical="top"/>
      <protection locked="0"/>
    </xf>
    <xf numFmtId="164" fontId="4" fillId="0" borderId="0" xfId="1" applyNumberFormat="1" applyAlignment="1">
      <alignment vertical="center"/>
    </xf>
    <xf numFmtId="0" fontId="20" fillId="19" borderId="0" xfId="0" applyFont="1" applyFill="1" applyAlignment="1">
      <alignment vertical="top" wrapText="1"/>
    </xf>
    <xf numFmtId="0" fontId="1" fillId="19" borderId="0" xfId="0" applyFont="1" applyFill="1" applyAlignment="1">
      <alignment vertical="top" wrapText="1"/>
    </xf>
    <xf numFmtId="0" fontId="0" fillId="0" borderId="0" xfId="0" applyAlignment="1">
      <alignment horizontal="center"/>
    </xf>
    <xf numFmtId="0" fontId="0" fillId="10" borderId="29" xfId="0" applyFill="1" applyBorder="1" applyAlignment="1">
      <alignment horizontal="left" vertical="center"/>
    </xf>
    <xf numFmtId="0" fontId="0" fillId="10" borderId="29" xfId="0" applyFill="1" applyBorder="1" applyAlignment="1">
      <alignment horizontal="center" vertical="center"/>
    </xf>
    <xf numFmtId="0" fontId="0" fillId="11" borderId="27" xfId="0" applyFill="1" applyBorder="1" applyAlignment="1">
      <alignment horizontal="left" vertical="center"/>
    </xf>
    <xf numFmtId="0" fontId="0" fillId="11" borderId="27" xfId="0" applyFill="1" applyBorder="1" applyAlignment="1">
      <alignment horizontal="center" vertical="center"/>
    </xf>
    <xf numFmtId="0" fontId="0" fillId="10" borderId="27" xfId="0" applyFill="1" applyBorder="1" applyAlignment="1">
      <alignment horizontal="left" vertical="center"/>
    </xf>
    <xf numFmtId="0" fontId="0" fillId="10" borderId="27" xfId="0" applyFill="1" applyBorder="1" applyAlignment="1">
      <alignment horizontal="center" vertical="center"/>
    </xf>
    <xf numFmtId="0" fontId="0" fillId="10" borderId="29" xfId="0" applyFill="1" applyBorder="1" applyAlignment="1">
      <alignment vertical="center"/>
    </xf>
    <xf numFmtId="0" fontId="0" fillId="11" borderId="27" xfId="0" applyFill="1" applyBorder="1" applyAlignment="1">
      <alignment vertical="center"/>
    </xf>
    <xf numFmtId="0" fontId="0" fillId="10" borderId="27" xfId="0" applyFill="1" applyBorder="1" applyAlignment="1">
      <alignment vertical="center"/>
    </xf>
    <xf numFmtId="0" fontId="20" fillId="12" borderId="28" xfId="0" applyFont="1" applyFill="1" applyBorder="1" applyAlignment="1">
      <alignment horizontal="left" vertical="center"/>
    </xf>
    <xf numFmtId="0" fontId="20" fillId="12" borderId="28" xfId="0" applyFont="1" applyFill="1" applyBorder="1" applyAlignment="1">
      <alignment horizontal="center" vertical="center" wrapText="1"/>
    </xf>
    <xf numFmtId="0" fontId="20" fillId="12" borderId="33" xfId="0" applyFont="1" applyFill="1" applyBorder="1" applyAlignment="1">
      <alignment horizontal="left" vertical="center"/>
    </xf>
    <xf numFmtId="0" fontId="20" fillId="0" borderId="0" xfId="0" applyFont="1"/>
    <xf numFmtId="0" fontId="0" fillId="19" borderId="0" xfId="0" applyFill="1"/>
    <xf numFmtId="0" fontId="0" fillId="15" borderId="29" xfId="0" applyFill="1" applyBorder="1" applyAlignment="1">
      <alignment horizontal="left" vertical="center"/>
    </xf>
    <xf numFmtId="0" fontId="0" fillId="15" borderId="29" xfId="0" applyFill="1" applyBorder="1" applyAlignment="1">
      <alignment horizontal="center" vertical="center"/>
    </xf>
    <xf numFmtId="0" fontId="0" fillId="16" borderId="27" xfId="0" applyFill="1" applyBorder="1" applyAlignment="1">
      <alignment horizontal="left" vertical="center"/>
    </xf>
    <xf numFmtId="0" fontId="0" fillId="16" borderId="27" xfId="0" applyFill="1" applyBorder="1" applyAlignment="1">
      <alignment horizontal="center" vertical="center"/>
    </xf>
    <xf numFmtId="0" fontId="0" fillId="15" borderId="27" xfId="0" applyFill="1" applyBorder="1" applyAlignment="1">
      <alignment horizontal="left" vertical="center"/>
    </xf>
    <xf numFmtId="0" fontId="0" fillId="15" borderId="27" xfId="0" applyFill="1" applyBorder="1" applyAlignment="1">
      <alignment horizontal="center" vertical="center"/>
    </xf>
    <xf numFmtId="0" fontId="5" fillId="15" borderId="30" xfId="1" applyFont="1" applyFill="1" applyBorder="1" applyAlignment="1">
      <alignment vertical="center"/>
    </xf>
    <xf numFmtId="0" fontId="0" fillId="15" borderId="29" xfId="0" applyFill="1" applyBorder="1" applyAlignment="1">
      <alignment vertical="center"/>
    </xf>
    <xf numFmtId="0" fontId="5" fillId="16" borderId="31" xfId="1" applyFont="1" applyFill="1" applyBorder="1" applyAlignment="1">
      <alignment vertical="center"/>
    </xf>
    <xf numFmtId="0" fontId="0" fillId="16" borderId="27" xfId="0" applyFill="1" applyBorder="1" applyAlignment="1">
      <alignment vertical="center"/>
    </xf>
    <xf numFmtId="0" fontId="5" fillId="15" borderId="31" xfId="1" applyFont="1" applyFill="1" applyBorder="1" applyAlignment="1">
      <alignment vertical="center"/>
    </xf>
    <xf numFmtId="0" fontId="0" fillId="15" borderId="27" xfId="0" applyFill="1" applyBorder="1" applyAlignment="1">
      <alignment vertical="center"/>
    </xf>
    <xf numFmtId="0" fontId="20" fillId="14" borderId="0" xfId="0" applyFont="1" applyFill="1" applyAlignment="1">
      <alignment vertical="top"/>
    </xf>
    <xf numFmtId="0" fontId="20" fillId="14" borderId="28" xfId="0" applyFont="1" applyFill="1" applyBorder="1" applyAlignment="1">
      <alignment vertical="center"/>
    </xf>
    <xf numFmtId="0" fontId="20" fillId="14" borderId="28" xfId="0" applyFont="1" applyFill="1" applyBorder="1" applyAlignment="1">
      <alignment horizontal="center" vertical="center" wrapText="1"/>
    </xf>
    <xf numFmtId="0" fontId="33" fillId="0" borderId="0" xfId="0" applyFont="1"/>
    <xf numFmtId="0" fontId="37" fillId="0" borderId="0" xfId="1" applyFont="1"/>
    <xf numFmtId="0" fontId="37" fillId="10" borderId="29" xfId="1" applyFont="1" applyFill="1" applyBorder="1" applyAlignment="1">
      <alignment vertical="center"/>
    </xf>
    <xf numFmtId="0" fontId="37" fillId="11" borderId="27" xfId="1" applyFont="1" applyFill="1" applyBorder="1" applyAlignment="1">
      <alignment vertical="center"/>
    </xf>
    <xf numFmtId="0" fontId="37" fillId="10" borderId="27" xfId="1" applyFont="1" applyFill="1" applyBorder="1" applyAlignment="1">
      <alignment vertical="center"/>
    </xf>
    <xf numFmtId="0" fontId="37" fillId="15" borderId="29" xfId="1" applyFont="1" applyFill="1" applyBorder="1" applyAlignment="1">
      <alignment vertical="center"/>
    </xf>
    <xf numFmtId="0" fontId="37" fillId="16" borderId="27" xfId="1" applyFont="1" applyFill="1" applyBorder="1" applyAlignment="1">
      <alignment vertical="center"/>
    </xf>
    <xf numFmtId="0" fontId="37" fillId="15" borderId="27" xfId="1" applyFont="1" applyFill="1" applyBorder="1" applyAlignment="1">
      <alignment vertical="center"/>
    </xf>
    <xf numFmtId="0" fontId="20" fillId="9" borderId="0" xfId="0" applyFont="1" applyFill="1" applyAlignment="1">
      <alignment vertical="top" wrapText="1"/>
    </xf>
    <xf numFmtId="0" fontId="0" fillId="21" borderId="29" xfId="0" applyFill="1" applyBorder="1" applyAlignment="1">
      <alignment horizontal="center" vertical="center"/>
    </xf>
    <xf numFmtId="0" fontId="0" fillId="22" borderId="27" xfId="0" applyFill="1" applyBorder="1" applyAlignment="1">
      <alignment horizontal="center" vertical="center"/>
    </xf>
    <xf numFmtId="0" fontId="0" fillId="21" borderId="27" xfId="0" applyFill="1" applyBorder="1" applyAlignment="1">
      <alignment horizontal="center" vertical="center"/>
    </xf>
    <xf numFmtId="0" fontId="20" fillId="20" borderId="0" xfId="0" applyFont="1" applyFill="1" applyAlignment="1">
      <alignment horizontal="left" vertical="center"/>
    </xf>
    <xf numFmtId="0" fontId="20" fillId="20" borderId="28" xfId="0" applyFont="1" applyFill="1" applyBorder="1" applyAlignment="1">
      <alignment horizontal="left" vertical="center"/>
    </xf>
    <xf numFmtId="0" fontId="20" fillId="20" borderId="28" xfId="0" applyFont="1" applyFill="1" applyBorder="1" applyAlignment="1">
      <alignment horizontal="center" vertical="center" wrapText="1"/>
    </xf>
    <xf numFmtId="0" fontId="0" fillId="21" borderId="30" xfId="0" applyFill="1" applyBorder="1" applyAlignment="1">
      <alignment horizontal="left" vertical="center"/>
    </xf>
    <xf numFmtId="0" fontId="0" fillId="21" borderId="29" xfId="0" applyFill="1" applyBorder="1" applyAlignment="1">
      <alignment vertical="center"/>
    </xf>
    <xf numFmtId="0" fontId="0" fillId="22" borderId="31" xfId="0" applyFill="1" applyBorder="1" applyAlignment="1">
      <alignment horizontal="left" vertical="center"/>
    </xf>
    <xf numFmtId="0" fontId="0" fillId="22" borderId="27" xfId="0" applyFill="1" applyBorder="1" applyAlignment="1">
      <alignment vertical="center"/>
    </xf>
    <xf numFmtId="0" fontId="0" fillId="21" borderId="31" xfId="0" applyFill="1" applyBorder="1" applyAlignment="1">
      <alignment horizontal="left" vertical="center"/>
    </xf>
    <xf numFmtId="0" fontId="0" fillId="21" borderId="27" xfId="0" applyFill="1" applyBorder="1" applyAlignment="1">
      <alignment vertical="center"/>
    </xf>
    <xf numFmtId="0" fontId="37" fillId="21" borderId="29" xfId="1" applyFont="1" applyFill="1" applyBorder="1" applyAlignment="1">
      <alignment vertical="center"/>
    </xf>
    <xf numFmtId="0" fontId="37" fillId="22" borderId="27" xfId="1" applyFont="1" applyFill="1" applyBorder="1" applyAlignment="1">
      <alignment vertical="center"/>
    </xf>
    <xf numFmtId="0" fontId="37" fillId="21" borderId="27" xfId="1" applyFont="1" applyFill="1" applyBorder="1" applyAlignment="1">
      <alignment vertical="center"/>
    </xf>
    <xf numFmtId="0" fontId="20" fillId="0" borderId="0" xfId="0" applyFont="1" applyAlignment="1">
      <alignment vertical="top" wrapText="1"/>
    </xf>
    <xf numFmtId="0" fontId="8" fillId="0" borderId="0" xfId="0" applyFont="1" applyAlignment="1">
      <alignment vertical="top" wrapText="1"/>
    </xf>
    <xf numFmtId="164" fontId="5" fillId="0" borderId="0" xfId="0" applyNumberFormat="1" applyFont="1" applyAlignment="1">
      <alignment vertical="top"/>
    </xf>
    <xf numFmtId="0" fontId="5" fillId="0" borderId="0" xfId="0" applyFont="1" applyAlignment="1">
      <alignment vertical="top"/>
    </xf>
    <xf numFmtId="164" fontId="5" fillId="0" borderId="0" xfId="0" applyNumberFormat="1" applyFont="1" applyAlignment="1" applyProtection="1">
      <alignment vertical="top"/>
      <protection locked="0"/>
    </xf>
    <xf numFmtId="0" fontId="5" fillId="0" borderId="0" xfId="0" applyFont="1" applyAlignment="1" applyProtection="1">
      <alignment vertical="top"/>
      <protection locked="0"/>
    </xf>
    <xf numFmtId="0" fontId="1" fillId="9" borderId="0" xfId="0" applyFont="1" applyFill="1" applyAlignment="1">
      <alignment vertical="top" wrapText="1"/>
    </xf>
    <xf numFmtId="0" fontId="32" fillId="8" borderId="0" xfId="0" applyFont="1" applyFill="1" applyAlignment="1">
      <alignment vertical="top" wrapText="1"/>
    </xf>
    <xf numFmtId="0" fontId="0" fillId="23" borderId="0" xfId="0" applyFill="1" applyAlignment="1">
      <alignment vertical="top"/>
    </xf>
    <xf numFmtId="0" fontId="0" fillId="23" borderId="0" xfId="0" applyFill="1" applyAlignment="1" applyProtection="1">
      <alignment vertical="top"/>
      <protection locked="0"/>
    </xf>
    <xf numFmtId="0" fontId="20" fillId="23" borderId="0" xfId="0" applyFont="1" applyFill="1"/>
    <xf numFmtId="0" fontId="0" fillId="23" borderId="0" xfId="0" applyFill="1"/>
    <xf numFmtId="0" fontId="1" fillId="23" borderId="0" xfId="0" applyFont="1" applyFill="1"/>
    <xf numFmtId="0" fontId="14" fillId="8" borderId="0" xfId="0" applyFont="1" applyFill="1" applyAlignment="1">
      <alignment vertical="top" wrapText="1"/>
    </xf>
    <xf numFmtId="0" fontId="1" fillId="8" borderId="0" xfId="0" applyFont="1" applyFill="1"/>
    <xf numFmtId="0" fontId="8" fillId="8" borderId="0" xfId="0" applyFont="1" applyFill="1"/>
    <xf numFmtId="0" fontId="5" fillId="0" borderId="37" xfId="0" applyFont="1" applyBorder="1" applyAlignment="1">
      <alignment vertical="top" wrapText="1"/>
    </xf>
    <xf numFmtId="0" fontId="20" fillId="9" borderId="37" xfId="0" applyFont="1" applyFill="1" applyBorder="1" applyAlignment="1">
      <alignment vertical="center"/>
    </xf>
    <xf numFmtId="0" fontId="0" fillId="18" borderId="37" xfId="0" applyFill="1" applyBorder="1" applyAlignment="1">
      <alignment vertical="center"/>
    </xf>
    <xf numFmtId="0" fontId="0" fillId="18" borderId="37" xfId="0" applyFill="1" applyBorder="1" applyAlignment="1">
      <alignment vertical="top"/>
    </xf>
    <xf numFmtId="0" fontId="15" fillId="0" borderId="37" xfId="0" applyFont="1" applyBorder="1" applyAlignment="1">
      <alignment vertical="center" wrapText="1"/>
    </xf>
    <xf numFmtId="0" fontId="0" fillId="17" borderId="37" xfId="0" applyFill="1" applyBorder="1" applyAlignment="1">
      <alignment vertical="center" wrapText="1"/>
    </xf>
    <xf numFmtId="0" fontId="1" fillId="17" borderId="37" xfId="0" applyFont="1" applyFill="1" applyBorder="1" applyAlignment="1">
      <alignment horizontal="left" vertical="center"/>
    </xf>
    <xf numFmtId="0" fontId="0" fillId="13" borderId="37" xfId="0" applyFill="1" applyBorder="1" applyAlignment="1">
      <alignment vertical="center" wrapText="1"/>
    </xf>
    <xf numFmtId="0" fontId="1" fillId="13" borderId="37" xfId="0" applyFont="1" applyFill="1" applyBorder="1" applyAlignment="1">
      <alignment horizontal="left" vertical="center"/>
    </xf>
    <xf numFmtId="0" fontId="0" fillId="0" borderId="37" xfId="0" applyBorder="1" applyAlignment="1">
      <alignment vertical="top" wrapText="1"/>
    </xf>
    <xf numFmtId="0" fontId="0" fillId="0" borderId="37" xfId="0" applyBorder="1" applyAlignment="1">
      <alignment vertical="top"/>
    </xf>
    <xf numFmtId="0" fontId="0" fillId="19" borderId="37" xfId="0" applyFill="1" applyBorder="1" applyAlignment="1">
      <alignment vertical="top"/>
    </xf>
    <xf numFmtId="0" fontId="0" fillId="19" borderId="37" xfId="0" applyFill="1" applyBorder="1" applyAlignment="1">
      <alignment vertical="top" wrapText="1"/>
    </xf>
    <xf numFmtId="0" fontId="20" fillId="19" borderId="40" xfId="0" applyFont="1" applyFill="1" applyBorder="1" applyAlignment="1">
      <alignment vertical="center" wrapText="1"/>
    </xf>
    <xf numFmtId="0" fontId="0" fillId="17" borderId="41" xfId="0" applyFill="1" applyBorder="1" applyAlignment="1">
      <alignment vertical="center" wrapText="1"/>
    </xf>
    <xf numFmtId="0" fontId="20" fillId="19" borderId="40" xfId="0" applyFont="1" applyFill="1" applyBorder="1" applyAlignment="1">
      <alignment vertical="top" wrapText="1"/>
    </xf>
    <xf numFmtId="0" fontId="0" fillId="18" borderId="41" xfId="0" applyFill="1" applyBorder="1" applyAlignment="1">
      <alignment vertical="center"/>
    </xf>
    <xf numFmtId="0" fontId="3" fillId="0" borderId="40" xfId="0" applyFont="1" applyBorder="1" applyAlignment="1">
      <alignment vertical="top"/>
    </xf>
    <xf numFmtId="0" fontId="1" fillId="26" borderId="3" xfId="0" applyFont="1" applyFill="1" applyBorder="1" applyAlignment="1">
      <alignment vertical="center"/>
    </xf>
    <xf numFmtId="0" fontId="1" fillId="17" borderId="3" xfId="0" applyFont="1" applyFill="1" applyBorder="1" applyAlignment="1">
      <alignment vertical="center"/>
    </xf>
    <xf numFmtId="0" fontId="1" fillId="13" borderId="3" xfId="0" applyFont="1" applyFill="1" applyBorder="1" applyAlignment="1">
      <alignment vertical="center"/>
    </xf>
    <xf numFmtId="0" fontId="1" fillId="18" borderId="3" xfId="0" applyFont="1" applyFill="1" applyBorder="1" applyAlignment="1">
      <alignment vertical="center"/>
    </xf>
    <xf numFmtId="0" fontId="1" fillId="27" borderId="3" xfId="0" applyFont="1" applyFill="1" applyBorder="1" applyAlignment="1">
      <alignment vertical="center"/>
    </xf>
    <xf numFmtId="0" fontId="34" fillId="0" borderId="0" xfId="0" applyFont="1" applyAlignment="1">
      <alignment horizontal="left" vertical="top"/>
    </xf>
    <xf numFmtId="0" fontId="35" fillId="0" borderId="46" xfId="0" applyFont="1" applyBorder="1" applyAlignment="1">
      <alignment vertical="top"/>
    </xf>
    <xf numFmtId="0" fontId="5" fillId="0" borderId="47" xfId="0" applyFont="1" applyBorder="1"/>
    <xf numFmtId="0" fontId="35" fillId="0" borderId="46" xfId="0" applyFont="1" applyBorder="1" applyAlignment="1">
      <alignment vertical="top" wrapText="1"/>
    </xf>
    <xf numFmtId="0" fontId="40" fillId="0" borderId="0" xfId="0" applyFont="1" applyAlignment="1">
      <alignment horizontal="left" vertical="top"/>
    </xf>
    <xf numFmtId="0" fontId="16" fillId="0" borderId="0" xfId="0" applyFont="1" applyAlignment="1">
      <alignment horizontal="left" vertical="center"/>
    </xf>
    <xf numFmtId="0" fontId="1" fillId="0" borderId="0" xfId="0" applyFont="1" applyAlignment="1">
      <alignment horizontal="left" vertical="center"/>
    </xf>
    <xf numFmtId="0" fontId="0" fillId="8" borderId="0" xfId="0" applyFill="1" applyAlignment="1">
      <alignment vertical="top"/>
    </xf>
    <xf numFmtId="14" fontId="0" fillId="8" borderId="0" xfId="0" applyNumberFormat="1" applyFill="1" applyAlignment="1">
      <alignment horizontal="left" vertical="top"/>
    </xf>
    <xf numFmtId="0" fontId="0" fillId="8" borderId="0" xfId="0" applyFill="1" applyAlignment="1">
      <alignment horizontal="left" vertical="top"/>
    </xf>
    <xf numFmtId="0" fontId="16" fillId="8" borderId="0" xfId="0" applyFont="1" applyFill="1" applyAlignment="1">
      <alignment vertical="top"/>
    </xf>
    <xf numFmtId="0" fontId="34" fillId="8" borderId="45" xfId="0" applyFont="1" applyFill="1" applyBorder="1" applyAlignment="1">
      <alignment horizontal="center" vertical="center" wrapText="1"/>
    </xf>
    <xf numFmtId="0" fontId="16" fillId="8" borderId="0" xfId="0" applyFont="1" applyFill="1"/>
    <xf numFmtId="0" fontId="42" fillId="19" borderId="5" xfId="0" applyFont="1" applyFill="1" applyBorder="1" applyAlignment="1">
      <alignment horizontal="left" vertical="center"/>
    </xf>
    <xf numFmtId="0" fontId="42" fillId="19" borderId="8" xfId="0" applyFont="1" applyFill="1" applyBorder="1" applyAlignment="1">
      <alignment horizontal="left" vertical="center"/>
    </xf>
    <xf numFmtId="0" fontId="42" fillId="19" borderId="4" xfId="0" applyFont="1" applyFill="1" applyBorder="1" applyAlignment="1">
      <alignment horizontal="left" vertical="center"/>
    </xf>
    <xf numFmtId="0" fontId="17" fillId="0" borderId="15" xfId="0" applyFont="1" applyBorder="1" applyAlignment="1">
      <alignment horizontal="left" vertical="top" wrapText="1"/>
    </xf>
    <xf numFmtId="0" fontId="17" fillId="0" borderId="2" xfId="0" applyFont="1" applyBorder="1" applyAlignment="1">
      <alignment horizontal="left" vertical="top" wrapText="1"/>
    </xf>
    <xf numFmtId="0" fontId="0" fillId="8" borderId="17" xfId="0" applyFill="1" applyBorder="1" applyAlignment="1">
      <alignment vertical="center"/>
    </xf>
    <xf numFmtId="0" fontId="0" fillId="0" borderId="0" xfId="0" applyAlignment="1">
      <alignment horizontal="left" vertical="center" indent="1"/>
    </xf>
    <xf numFmtId="0" fontId="0" fillId="0" borderId="0" xfId="0" applyAlignment="1">
      <alignment horizontal="left" indent="1"/>
    </xf>
    <xf numFmtId="0" fontId="0" fillId="0" borderId="15" xfId="0" applyBorder="1" applyAlignment="1">
      <alignment horizontal="left" indent="1"/>
    </xf>
    <xf numFmtId="0" fontId="1" fillId="0" borderId="3" xfId="0" applyFont="1" applyBorder="1" applyAlignment="1">
      <alignment vertical="center" wrapText="1"/>
    </xf>
    <xf numFmtId="0" fontId="1" fillId="0" borderId="0" xfId="0" applyFont="1" applyAlignment="1">
      <alignment vertical="center" wrapText="1"/>
    </xf>
    <xf numFmtId="0" fontId="0" fillId="0" borderId="0" xfId="0" applyAlignment="1">
      <alignment horizontal="left" vertical="center"/>
    </xf>
    <xf numFmtId="0" fontId="0" fillId="0" borderId="3" xfId="0" applyBorder="1" applyAlignment="1" applyProtection="1">
      <alignment horizontal="left" vertical="center"/>
      <protection locked="0"/>
    </xf>
    <xf numFmtId="0" fontId="1" fillId="19" borderId="5" xfId="0" applyFont="1" applyFill="1" applyBorder="1" applyAlignment="1">
      <alignment vertical="center" wrapText="1"/>
    </xf>
    <xf numFmtId="0" fontId="0" fillId="19" borderId="4" xfId="0" applyFill="1" applyBorder="1" applyAlignment="1">
      <alignment horizontal="left" vertical="center"/>
    </xf>
    <xf numFmtId="0" fontId="44" fillId="0" borderId="0" xfId="0" applyFont="1" applyAlignment="1">
      <alignment vertical="center"/>
    </xf>
    <xf numFmtId="0" fontId="1" fillId="19" borderId="7" xfId="0" applyFont="1" applyFill="1" applyBorder="1" applyAlignment="1" applyProtection="1">
      <alignment horizontal="center" vertical="center"/>
      <protection locked="0"/>
    </xf>
    <xf numFmtId="0" fontId="1" fillId="19" borderId="3" xfId="0" applyFont="1" applyFill="1" applyBorder="1" applyAlignment="1" applyProtection="1">
      <alignment horizontal="center" vertical="center"/>
      <protection locked="0"/>
    </xf>
    <xf numFmtId="0" fontId="33" fillId="0" borderId="0" xfId="0" applyFont="1" applyAlignment="1">
      <alignment vertical="center"/>
    </xf>
    <xf numFmtId="0" fontId="30" fillId="0" borderId="0" xfId="0" applyFont="1" applyAlignment="1">
      <alignment vertical="center"/>
    </xf>
    <xf numFmtId="0" fontId="20" fillId="17" borderId="37" xfId="0" applyFont="1" applyFill="1" applyBorder="1" applyAlignment="1">
      <alignment horizontal="left" vertical="center" indent="1"/>
    </xf>
    <xf numFmtId="0" fontId="20" fillId="13" borderId="37" xfId="0" applyFont="1" applyFill="1" applyBorder="1" applyAlignment="1">
      <alignment horizontal="left" vertical="center" indent="1"/>
    </xf>
    <xf numFmtId="0" fontId="20" fillId="9" borderId="37" xfId="0" applyFont="1" applyFill="1" applyBorder="1" applyAlignment="1">
      <alignment horizontal="left" vertical="center" indent="1"/>
    </xf>
    <xf numFmtId="0" fontId="0" fillId="19" borderId="23" xfId="0" applyFill="1" applyBorder="1"/>
    <xf numFmtId="0" fontId="0" fillId="19" borderId="24" xfId="0" applyFill="1" applyBorder="1"/>
    <xf numFmtId="0" fontId="5" fillId="19" borderId="0" xfId="0" applyFont="1" applyFill="1"/>
    <xf numFmtId="0" fontId="1" fillId="0" borderId="18" xfId="0" applyFont="1" applyBorder="1" applyAlignment="1">
      <alignment horizontal="left" vertical="center" wrapText="1"/>
    </xf>
    <xf numFmtId="0" fontId="0" fillId="0" borderId="18" xfId="0" applyBorder="1" applyAlignment="1">
      <alignment horizontal="left" vertical="center" wrapText="1"/>
    </xf>
    <xf numFmtId="0" fontId="0" fillId="0" borderId="18" xfId="0" applyBorder="1" applyAlignment="1">
      <alignment vertical="center"/>
    </xf>
    <xf numFmtId="0" fontId="10" fillId="0" borderId="18" xfId="0" applyFont="1" applyBorder="1"/>
    <xf numFmtId="0" fontId="19" fillId="0" borderId="18" xfId="0" applyFont="1" applyBorder="1" applyAlignment="1">
      <alignment vertical="center"/>
    </xf>
    <xf numFmtId="0" fontId="0" fillId="6" borderId="10" xfId="0" applyFill="1" applyBorder="1"/>
    <xf numFmtId="0" fontId="18" fillId="6" borderId="12" xfId="0" applyFont="1" applyFill="1" applyBorder="1" applyAlignment="1">
      <alignment vertical="center"/>
    </xf>
    <xf numFmtId="0" fontId="0" fillId="6" borderId="12" xfId="0" applyFill="1" applyBorder="1" applyAlignment="1">
      <alignment vertical="center"/>
    </xf>
    <xf numFmtId="0" fontId="7" fillId="6" borderId="12" xfId="0" applyFont="1" applyFill="1" applyBorder="1" applyAlignment="1">
      <alignment horizontal="center" vertical="center"/>
    </xf>
    <xf numFmtId="0" fontId="5" fillId="6" borderId="12" xfId="0" applyFont="1" applyFill="1" applyBorder="1"/>
    <xf numFmtId="0" fontId="0" fillId="6" borderId="12" xfId="0" applyFill="1" applyBorder="1"/>
    <xf numFmtId="0" fontId="0" fillId="6" borderId="19" xfId="0" applyFill="1" applyBorder="1"/>
    <xf numFmtId="0" fontId="0" fillId="19" borderId="21" xfId="0" applyFill="1" applyBorder="1"/>
    <xf numFmtId="0" fontId="0" fillId="19" borderId="11" xfId="0" applyFill="1" applyBorder="1" applyAlignment="1">
      <alignment vertical="top"/>
    </xf>
    <xf numFmtId="0" fontId="0" fillId="19" borderId="11" xfId="0" applyFill="1" applyBorder="1" applyAlignment="1">
      <alignment vertical="top" wrapText="1"/>
    </xf>
    <xf numFmtId="0" fontId="0" fillId="19" borderId="11" xfId="0" applyFill="1" applyBorder="1"/>
    <xf numFmtId="0" fontId="5" fillId="19" borderId="11" xfId="0" applyFont="1" applyFill="1" applyBorder="1"/>
    <xf numFmtId="0" fontId="0" fillId="19" borderId="22" xfId="0" applyFill="1" applyBorder="1"/>
    <xf numFmtId="0" fontId="0" fillId="19" borderId="25" xfId="0" applyFill="1" applyBorder="1"/>
    <xf numFmtId="0" fontId="0" fillId="19" borderId="18" xfId="0" applyFill="1" applyBorder="1" applyAlignment="1">
      <alignment vertical="top"/>
    </xf>
    <xf numFmtId="0" fontId="0" fillId="19" borderId="18" xfId="0" applyFill="1" applyBorder="1" applyAlignment="1">
      <alignment vertical="top" wrapText="1"/>
    </xf>
    <xf numFmtId="0" fontId="0" fillId="19" borderId="18" xfId="0" applyFill="1" applyBorder="1"/>
    <xf numFmtId="0" fontId="5" fillId="19" borderId="18" xfId="0" applyFont="1" applyFill="1" applyBorder="1"/>
    <xf numFmtId="0" fontId="0" fillId="19" borderId="26" xfId="0" applyFill="1" applyBorder="1"/>
    <xf numFmtId="0" fontId="46" fillId="19" borderId="0" xfId="0" applyFont="1" applyFill="1"/>
    <xf numFmtId="0" fontId="5" fillId="19" borderId="0" xfId="0" applyFont="1" applyFill="1" applyAlignment="1">
      <alignment vertical="top" wrapText="1"/>
    </xf>
    <xf numFmtId="0" fontId="47" fillId="0" borderId="0" xfId="0" applyFont="1" applyAlignment="1">
      <alignment vertical="top" wrapText="1"/>
    </xf>
    <xf numFmtId="0" fontId="1" fillId="0" borderId="42" xfId="0" applyFont="1" applyBorder="1" applyAlignment="1">
      <alignment vertical="top"/>
    </xf>
    <xf numFmtId="0" fontId="1" fillId="0" borderId="44" xfId="0" applyFont="1" applyBorder="1" applyAlignment="1">
      <alignment vertical="top"/>
    </xf>
    <xf numFmtId="0" fontId="1" fillId="0" borderId="52" xfId="0" applyFont="1" applyBorder="1" applyAlignment="1">
      <alignment vertical="top"/>
    </xf>
    <xf numFmtId="0" fontId="20" fillId="0" borderId="39" xfId="0" applyFont="1" applyBorder="1" applyAlignment="1">
      <alignment vertical="top"/>
    </xf>
    <xf numFmtId="0" fontId="20" fillId="0" borderId="38" xfId="0" applyFont="1" applyBorder="1" applyAlignment="1">
      <alignment vertical="top" wrapText="1"/>
    </xf>
    <xf numFmtId="164" fontId="20" fillId="0" borderId="37" xfId="0" applyNumberFormat="1" applyFont="1" applyBorder="1"/>
    <xf numFmtId="0" fontId="1" fillId="0" borderId="0" xfId="0" applyFont="1" applyAlignment="1">
      <alignment vertical="center" textRotation="90" wrapText="1"/>
    </xf>
    <xf numFmtId="0" fontId="1" fillId="0" borderId="39" xfId="0" applyFont="1" applyBorder="1" applyAlignment="1">
      <alignment horizontal="left"/>
    </xf>
    <xf numFmtId="0" fontId="1" fillId="0" borderId="53" xfId="0" applyFont="1" applyBorder="1" applyAlignment="1">
      <alignment horizontal="left"/>
    </xf>
    <xf numFmtId="0" fontId="1" fillId="0" borderId="38" xfId="0" applyFont="1" applyBorder="1" applyAlignment="1">
      <alignment horizontal="left"/>
    </xf>
    <xf numFmtId="0" fontId="37" fillId="23" borderId="3" xfId="0" applyFont="1" applyFill="1" applyBorder="1" applyAlignment="1">
      <alignment horizontal="center" vertical="center"/>
    </xf>
    <xf numFmtId="0" fontId="20" fillId="25" borderId="39" xfId="0" applyFont="1" applyFill="1" applyBorder="1" applyAlignment="1">
      <alignment vertical="center"/>
    </xf>
    <xf numFmtId="0" fontId="20" fillId="25" borderId="38" xfId="0" applyFont="1" applyFill="1" applyBorder="1" applyAlignment="1">
      <alignment vertical="center" wrapText="1"/>
    </xf>
    <xf numFmtId="0" fontId="20" fillId="9" borderId="37" xfId="0" applyFont="1" applyFill="1" applyBorder="1" applyAlignment="1">
      <alignment vertical="center" wrapText="1"/>
    </xf>
    <xf numFmtId="0" fontId="48" fillId="0" borderId="0" xfId="0" applyFont="1" applyAlignment="1">
      <alignment vertical="center"/>
    </xf>
    <xf numFmtId="0" fontId="0" fillId="0" borderId="21" xfId="0" applyBorder="1"/>
    <xf numFmtId="0" fontId="33" fillId="0" borderId="11" xfId="0" applyFont="1" applyBorder="1" applyAlignment="1">
      <alignment vertical="center"/>
    </xf>
    <xf numFmtId="0" fontId="0" fillId="0" borderId="11" xfId="0" applyBorder="1" applyAlignment="1">
      <alignment vertical="top" wrapText="1"/>
    </xf>
    <xf numFmtId="0" fontId="0" fillId="0" borderId="11" xfId="0" applyBorder="1"/>
    <xf numFmtId="0" fontId="5" fillId="0" borderId="11" xfId="0" applyFont="1" applyBorder="1"/>
    <xf numFmtId="0" fontId="0" fillId="0" borderId="22" xfId="0" applyBorder="1"/>
    <xf numFmtId="0" fontId="13" fillId="0" borderId="0" xfId="0" applyFont="1" applyAlignment="1">
      <alignment vertical="center"/>
    </xf>
    <xf numFmtId="0" fontId="49" fillId="0" borderId="0" xfId="0" applyFont="1" applyAlignment="1">
      <alignment horizontal="left" indent="1"/>
    </xf>
    <xf numFmtId="0" fontId="1" fillId="0" borderId="0" xfId="0" applyFont="1" applyProtection="1">
      <protection locked="0"/>
    </xf>
    <xf numFmtId="0" fontId="10" fillId="0" borderId="0" xfId="0" applyFont="1" applyAlignment="1">
      <alignment vertical="top" wrapText="1"/>
    </xf>
    <xf numFmtId="0" fontId="48" fillId="0" borderId="0" xfId="0" applyFont="1"/>
    <xf numFmtId="0" fontId="36" fillId="0" borderId="55" xfId="0" applyFont="1" applyBorder="1"/>
    <xf numFmtId="0" fontId="27" fillId="0" borderId="56" xfId="0" applyFont="1" applyBorder="1"/>
    <xf numFmtId="0" fontId="27" fillId="0" borderId="57" xfId="0" applyFont="1" applyBorder="1"/>
    <xf numFmtId="164" fontId="5" fillId="0" borderId="0" xfId="0" applyNumberFormat="1" applyFont="1" applyAlignment="1">
      <alignment vertical="center"/>
    </xf>
    <xf numFmtId="0" fontId="1" fillId="0" borderId="3" xfId="0" applyFont="1" applyBorder="1" applyAlignment="1" applyProtection="1">
      <alignment horizontal="left" vertical="center" wrapText="1"/>
      <protection locked="0"/>
    </xf>
    <xf numFmtId="0" fontId="1" fillId="8" borderId="62" xfId="0" applyFont="1" applyFill="1" applyBorder="1" applyAlignment="1">
      <alignment horizontal="left" vertical="top" wrapText="1"/>
    </xf>
    <xf numFmtId="0" fontId="37" fillId="0" borderId="61" xfId="1" applyFont="1" applyBorder="1" applyAlignment="1">
      <alignment vertical="top" wrapText="1"/>
    </xf>
    <xf numFmtId="0" fontId="17" fillId="0" borderId="61" xfId="0" applyFont="1" applyBorder="1" applyAlignment="1">
      <alignment horizontal="left" vertical="top" wrapText="1"/>
    </xf>
    <xf numFmtId="0" fontId="17" fillId="0" borderId="63" xfId="0" applyFont="1" applyBorder="1" applyAlignment="1">
      <alignment horizontal="left" vertical="top" wrapText="1"/>
    </xf>
    <xf numFmtId="0" fontId="35" fillId="0" borderId="64" xfId="0" applyFont="1" applyBorder="1" applyAlignment="1">
      <alignment vertical="top"/>
    </xf>
    <xf numFmtId="0" fontId="5" fillId="0" borderId="65" xfId="0" applyFont="1" applyBorder="1"/>
    <xf numFmtId="0" fontId="27" fillId="0" borderId="65" xfId="0" applyFont="1" applyBorder="1"/>
    <xf numFmtId="0" fontId="35" fillId="0" borderId="64" xfId="0" applyFont="1" applyBorder="1" applyAlignment="1">
      <alignment horizontal="left" vertical="top"/>
    </xf>
    <xf numFmtId="0" fontId="5" fillId="0" borderId="65" xfId="0" applyFont="1" applyBorder="1" applyAlignment="1">
      <alignment horizontal="left"/>
    </xf>
    <xf numFmtId="0" fontId="35" fillId="0" borderId="64" xfId="0" applyFont="1" applyBorder="1" applyAlignment="1">
      <alignment vertical="top" wrapText="1"/>
    </xf>
    <xf numFmtId="0" fontId="5" fillId="0" borderId="65" xfId="0" applyFont="1" applyBorder="1" applyAlignment="1">
      <alignment wrapText="1"/>
    </xf>
    <xf numFmtId="0" fontId="0" fillId="0" borderId="0" xfId="0" applyAlignment="1">
      <alignment horizontal="left" vertical="center" wrapText="1" indent="1"/>
    </xf>
    <xf numFmtId="0" fontId="0" fillId="0" borderId="15" xfId="0" applyBorder="1" applyAlignment="1">
      <alignment horizontal="left" vertical="center" wrapText="1" indent="1"/>
    </xf>
    <xf numFmtId="0" fontId="37" fillId="23" borderId="0" xfId="0" applyFont="1" applyFill="1" applyAlignment="1">
      <alignment horizontal="center" vertical="center"/>
    </xf>
    <xf numFmtId="0" fontId="1" fillId="8" borderId="17" xfId="0" applyFont="1" applyFill="1" applyBorder="1" applyAlignment="1">
      <alignment vertical="center"/>
    </xf>
    <xf numFmtId="165" fontId="1" fillId="0" borderId="0" xfId="0" applyNumberFormat="1" applyFont="1" applyAlignment="1">
      <alignment vertical="top" wrapText="1"/>
    </xf>
    <xf numFmtId="165" fontId="1" fillId="0" borderId="0" xfId="0" applyNumberFormat="1" applyFont="1" applyAlignment="1" applyProtection="1">
      <alignment vertical="top" wrapText="1"/>
      <protection locked="0"/>
    </xf>
    <xf numFmtId="165" fontId="20" fillId="9" borderId="0" xfId="0" applyNumberFormat="1" applyFont="1" applyFill="1"/>
    <xf numFmtId="165" fontId="0" fillId="0" borderId="0" xfId="0" applyNumberFormat="1" applyAlignment="1" applyProtection="1">
      <alignment vertical="top" wrapText="1"/>
      <protection locked="0"/>
    </xf>
    <xf numFmtId="3" fontId="0" fillId="0" borderId="0" xfId="0" applyNumberFormat="1" applyAlignment="1" applyProtection="1">
      <alignment vertical="top" wrapText="1"/>
      <protection locked="0"/>
    </xf>
    <xf numFmtId="165" fontId="1" fillId="0" borderId="0" xfId="0" applyNumberFormat="1" applyFont="1" applyAlignment="1">
      <alignment vertical="top"/>
    </xf>
    <xf numFmtId="165" fontId="1" fillId="0" borderId="0" xfId="0" applyNumberFormat="1" applyFont="1" applyAlignment="1" applyProtection="1">
      <alignment vertical="top"/>
      <protection locked="0"/>
    </xf>
    <xf numFmtId="165" fontId="1" fillId="9" borderId="0" xfId="0" applyNumberFormat="1" applyFont="1" applyFill="1"/>
    <xf numFmtId="3" fontId="1" fillId="0" borderId="0" xfId="0" applyNumberFormat="1" applyFont="1"/>
    <xf numFmtId="165" fontId="5" fillId="17" borderId="41" xfId="0" applyNumberFormat="1" applyFont="1" applyFill="1" applyBorder="1" applyAlignment="1">
      <alignment vertical="center"/>
    </xf>
    <xf numFmtId="165" fontId="5" fillId="24" borderId="41" xfId="0" applyNumberFormat="1" applyFont="1" applyFill="1" applyBorder="1" applyAlignment="1">
      <alignment vertical="center"/>
    </xf>
    <xf numFmtId="165" fontId="5" fillId="13" borderId="37" xfId="0" applyNumberFormat="1" applyFont="1" applyFill="1" applyBorder="1" applyAlignment="1">
      <alignment vertical="center"/>
    </xf>
    <xf numFmtId="165" fontId="20" fillId="9" borderId="37" xfId="0" applyNumberFormat="1" applyFont="1" applyFill="1" applyBorder="1" applyAlignment="1">
      <alignment vertical="center"/>
    </xf>
    <xf numFmtId="165" fontId="0" fillId="17" borderId="41" xfId="0" applyNumberFormat="1" applyFill="1" applyBorder="1" applyAlignment="1">
      <alignment vertical="center"/>
    </xf>
    <xf numFmtId="165" fontId="0" fillId="17" borderId="37" xfId="0" applyNumberFormat="1" applyFill="1" applyBorder="1" applyAlignment="1">
      <alignment vertical="center"/>
    </xf>
    <xf numFmtId="165" fontId="1" fillId="17" borderId="37" xfId="0" applyNumberFormat="1" applyFont="1" applyFill="1" applyBorder="1" applyAlignment="1">
      <alignment vertical="center"/>
    </xf>
    <xf numFmtId="165" fontId="0" fillId="13" borderId="37" xfId="0" applyNumberFormat="1" applyFill="1" applyBorder="1" applyAlignment="1">
      <alignment vertical="center"/>
    </xf>
    <xf numFmtId="165" fontId="1" fillId="13" borderId="37" xfId="0" applyNumberFormat="1" applyFont="1" applyFill="1" applyBorder="1" applyAlignment="1">
      <alignment vertical="center"/>
    </xf>
    <xf numFmtId="165" fontId="0" fillId="19" borderId="37" xfId="0" applyNumberFormat="1" applyFill="1" applyBorder="1" applyAlignment="1">
      <alignment vertical="top"/>
    </xf>
    <xf numFmtId="165" fontId="20" fillId="25" borderId="37" xfId="0" applyNumberFormat="1" applyFont="1" applyFill="1" applyBorder="1" applyAlignment="1">
      <alignment vertical="center"/>
    </xf>
    <xf numFmtId="3" fontId="0" fillId="0" borderId="0" xfId="0" applyNumberFormat="1" applyProtection="1">
      <protection locked="0"/>
    </xf>
    <xf numFmtId="0" fontId="48" fillId="0" borderId="0" xfId="0" applyFont="1" applyAlignment="1">
      <alignment horizontal="left" vertical="top" wrapText="1" indent="1"/>
    </xf>
    <xf numFmtId="0" fontId="0" fillId="0" borderId="68" xfId="0" applyBorder="1"/>
    <xf numFmtId="0" fontId="8" fillId="2" borderId="67" xfId="0" applyFont="1" applyFill="1" applyBorder="1" applyAlignment="1">
      <alignment vertical="top" wrapText="1"/>
    </xf>
    <xf numFmtId="0" fontId="8" fillId="9" borderId="67" xfId="0" applyFont="1" applyFill="1" applyBorder="1" applyAlignment="1">
      <alignment vertical="top" wrapText="1"/>
    </xf>
    <xf numFmtId="0" fontId="8" fillId="28" borderId="67" xfId="0" applyFont="1" applyFill="1" applyBorder="1" applyAlignment="1">
      <alignment vertical="top" wrapText="1"/>
    </xf>
    <xf numFmtId="0" fontId="8" fillId="7" borderId="0" xfId="0" applyFont="1" applyFill="1" applyAlignment="1">
      <alignment vertical="top" wrapText="1"/>
    </xf>
    <xf numFmtId="0" fontId="8" fillId="7" borderId="67" xfId="0" applyFont="1" applyFill="1" applyBorder="1" applyAlignment="1">
      <alignment vertical="top" wrapText="1"/>
    </xf>
    <xf numFmtId="0" fontId="8" fillId="0" borderId="32" xfId="0" applyFont="1" applyBorder="1" applyAlignment="1">
      <alignment vertical="top" wrapText="1"/>
    </xf>
    <xf numFmtId="0" fontId="0" fillId="29" borderId="0" xfId="0" applyFill="1"/>
    <xf numFmtId="10" fontId="0" fillId="29" borderId="0" xfId="0" applyNumberFormat="1" applyFill="1"/>
    <xf numFmtId="0" fontId="0" fillId="25" borderId="0" xfId="0" applyFill="1"/>
    <xf numFmtId="10" fontId="0" fillId="25" borderId="0" xfId="0" applyNumberFormat="1" applyFill="1"/>
    <xf numFmtId="0" fontId="0" fillId="30" borderId="0" xfId="0" applyFill="1"/>
    <xf numFmtId="10" fontId="0" fillId="30" borderId="0" xfId="0" applyNumberFormat="1" applyFill="1"/>
    <xf numFmtId="0" fontId="0" fillId="31" borderId="0" xfId="0" applyFill="1"/>
    <xf numFmtId="10" fontId="0" fillId="31" borderId="0" xfId="0" applyNumberFormat="1" applyFill="1"/>
    <xf numFmtId="10" fontId="9" fillId="0" borderId="0" xfId="0" applyNumberFormat="1" applyFont="1"/>
    <xf numFmtId="0" fontId="0" fillId="32" borderId="0" xfId="0" applyFill="1"/>
    <xf numFmtId="10" fontId="0" fillId="32" borderId="0" xfId="0" applyNumberFormat="1" applyFill="1"/>
    <xf numFmtId="0" fontId="0" fillId="33" borderId="0" xfId="0" applyFill="1"/>
    <xf numFmtId="10" fontId="0" fillId="33" borderId="0" xfId="0" applyNumberFormat="1" applyFill="1"/>
    <xf numFmtId="0" fontId="0" fillId="34" borderId="0" xfId="0" applyFill="1"/>
    <xf numFmtId="10" fontId="0" fillId="34" borderId="0" xfId="0" applyNumberFormat="1" applyFill="1"/>
    <xf numFmtId="0" fontId="0" fillId="35" borderId="0" xfId="0" applyFill="1"/>
    <xf numFmtId="10" fontId="0" fillId="35" borderId="0" xfId="0" applyNumberFormat="1" applyFill="1"/>
    <xf numFmtId="0" fontId="8" fillId="36" borderId="67" xfId="0" applyFont="1" applyFill="1" applyBorder="1" applyAlignment="1">
      <alignment vertical="top" wrapText="1"/>
    </xf>
    <xf numFmtId="49" fontId="0" fillId="0" borderId="0" xfId="0" applyNumberFormat="1"/>
    <xf numFmtId="0" fontId="52" fillId="0" borderId="0" xfId="0" applyFont="1"/>
    <xf numFmtId="0" fontId="53" fillId="37" borderId="3" xfId="0" applyFont="1" applyFill="1" applyBorder="1" applyAlignment="1">
      <alignment vertical="top"/>
    </xf>
    <xf numFmtId="0" fontId="8" fillId="38" borderId="3" xfId="0" applyFont="1" applyFill="1" applyBorder="1" applyAlignment="1">
      <alignment vertical="top"/>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4" xfId="0" applyBorder="1" applyAlignment="1">
      <alignment horizontal="left" vertical="top" wrapText="1"/>
    </xf>
    <xf numFmtId="0" fontId="42" fillId="19" borderId="5" xfId="0" applyFont="1" applyFill="1" applyBorder="1" applyAlignment="1">
      <alignment horizontal="left" vertical="center"/>
    </xf>
    <xf numFmtId="0" fontId="42" fillId="19" borderId="8" xfId="0" applyFont="1" applyFill="1" applyBorder="1" applyAlignment="1">
      <alignment horizontal="left" vertical="center"/>
    </xf>
    <xf numFmtId="0" fontId="42" fillId="19" borderId="4" xfId="0" applyFont="1" applyFill="1" applyBorder="1" applyAlignment="1">
      <alignment horizontal="left" vertical="center"/>
    </xf>
    <xf numFmtId="0" fontId="0" fillId="0" borderId="16" xfId="0" applyBorder="1" applyAlignment="1">
      <alignment horizontal="left" vertical="top" wrapText="1"/>
    </xf>
    <xf numFmtId="0" fontId="0" fillId="0" borderId="2" xfId="0" applyBorder="1" applyAlignment="1">
      <alignment horizontal="left" vertical="top" wrapText="1"/>
    </xf>
    <xf numFmtId="0" fontId="0" fillId="8" borderId="17" xfId="0" applyFill="1" applyBorder="1" applyAlignment="1">
      <alignment horizontal="left" vertical="top"/>
    </xf>
    <xf numFmtId="0" fontId="0" fillId="8" borderId="0" xfId="0" applyFill="1" applyAlignment="1">
      <alignment horizontal="left" vertical="top"/>
    </xf>
    <xf numFmtId="0" fontId="0" fillId="8" borderId="15" xfId="0" applyFill="1" applyBorder="1" applyAlignment="1">
      <alignment horizontal="left" vertical="top"/>
    </xf>
    <xf numFmtId="0" fontId="0" fillId="0" borderId="0" xfId="0" applyAlignment="1">
      <alignment horizontal="left" vertical="top" wrapText="1"/>
    </xf>
    <xf numFmtId="0" fontId="0" fillId="0" borderId="61" xfId="0" applyBorder="1" applyAlignment="1">
      <alignment horizontal="left" vertical="top" wrapText="1"/>
    </xf>
    <xf numFmtId="0" fontId="37" fillId="0" borderId="0" xfId="1" applyFont="1" applyBorder="1" applyAlignment="1">
      <alignment horizontal="left" vertical="top" wrapText="1"/>
    </xf>
    <xf numFmtId="0" fontId="37" fillId="0" borderId="16" xfId="1" applyFont="1" applyBorder="1" applyAlignment="1">
      <alignment horizontal="left" vertical="top" wrapText="1"/>
    </xf>
    <xf numFmtId="0" fontId="0" fillId="0" borderId="0" xfId="0" applyAlignment="1">
      <alignment horizontal="left" vertical="center" wrapText="1" indent="1"/>
    </xf>
    <xf numFmtId="0" fontId="0" fillId="0" borderId="15" xfId="0" applyBorder="1" applyAlignment="1">
      <alignment horizontal="left" vertical="center" wrapText="1" indent="1"/>
    </xf>
    <xf numFmtId="0" fontId="33" fillId="0" borderId="0" xfId="0" applyFont="1" applyAlignment="1">
      <alignment horizontal="left"/>
    </xf>
    <xf numFmtId="0" fontId="0" fillId="8" borderId="1" xfId="0" applyFill="1" applyBorder="1" applyAlignment="1">
      <alignment horizontal="left" vertical="top" wrapText="1"/>
    </xf>
    <xf numFmtId="0" fontId="0" fillId="8" borderId="16" xfId="0" applyFill="1" applyBorder="1" applyAlignment="1">
      <alignment horizontal="left" vertical="top" wrapText="1"/>
    </xf>
    <xf numFmtId="0" fontId="0" fillId="8" borderId="2" xfId="0" applyFill="1" applyBorder="1" applyAlignment="1">
      <alignment horizontal="left" vertical="top" wrapText="1"/>
    </xf>
    <xf numFmtId="0" fontId="1" fillId="18" borderId="17" xfId="0" applyFont="1" applyFill="1" applyBorder="1" applyAlignment="1">
      <alignment horizontal="left" vertical="top" wrapText="1"/>
    </xf>
    <xf numFmtId="0" fontId="1" fillId="18" borderId="0" xfId="0" applyFont="1" applyFill="1" applyAlignment="1">
      <alignment horizontal="left" vertical="top" wrapText="1"/>
    </xf>
    <xf numFmtId="0" fontId="1" fillId="18" borderId="15" xfId="0" applyFont="1" applyFill="1" applyBorder="1" applyAlignment="1">
      <alignment horizontal="left" vertical="top" wrapText="1"/>
    </xf>
    <xf numFmtId="0" fontId="0" fillId="8" borderId="17" xfId="0" applyFill="1" applyBorder="1" applyAlignment="1">
      <alignment horizontal="left" vertical="top" wrapText="1"/>
    </xf>
    <xf numFmtId="0" fontId="0" fillId="8" borderId="0" xfId="0" applyFill="1" applyAlignment="1">
      <alignment horizontal="left" vertical="top" wrapText="1"/>
    </xf>
    <xf numFmtId="0" fontId="0" fillId="8" borderId="15" xfId="0" applyFill="1" applyBorder="1" applyAlignment="1">
      <alignment horizontal="left" vertical="top" wrapText="1"/>
    </xf>
    <xf numFmtId="0" fontId="1" fillId="13" borderId="17" xfId="0" applyFont="1" applyFill="1" applyBorder="1" applyAlignment="1">
      <alignment horizontal="left" vertical="top" wrapText="1"/>
    </xf>
    <xf numFmtId="0" fontId="1" fillId="13" borderId="0" xfId="0" applyFont="1" applyFill="1" applyAlignment="1">
      <alignment horizontal="left" vertical="top" wrapText="1"/>
    </xf>
    <xf numFmtId="0" fontId="1" fillId="13" borderId="15" xfId="0" applyFont="1" applyFill="1" applyBorder="1" applyAlignment="1">
      <alignment horizontal="left" vertical="top" wrapText="1"/>
    </xf>
    <xf numFmtId="0" fontId="1" fillId="17" borderId="17" xfId="0" applyFont="1" applyFill="1" applyBorder="1" applyAlignment="1">
      <alignment horizontal="left" vertical="top" wrapText="1"/>
    </xf>
    <xf numFmtId="0" fontId="1" fillId="17" borderId="0" xfId="0" applyFont="1" applyFill="1" applyAlignment="1">
      <alignment horizontal="left" vertical="top" wrapText="1"/>
    </xf>
    <xf numFmtId="0" fontId="1" fillId="17" borderId="15" xfId="0" applyFont="1" applyFill="1" applyBorder="1" applyAlignment="1">
      <alignment horizontal="left" vertical="top" wrapText="1"/>
    </xf>
    <xf numFmtId="0" fontId="0" fillId="0" borderId="17" xfId="0" applyBorder="1" applyAlignment="1">
      <alignment horizontal="left" vertical="top" wrapText="1"/>
    </xf>
    <xf numFmtId="0" fontId="0" fillId="0" borderId="15" xfId="0" applyBorder="1" applyAlignment="1">
      <alignment horizontal="left" vertical="top" wrapText="1"/>
    </xf>
    <xf numFmtId="0" fontId="42" fillId="19" borderId="49" xfId="0" applyFont="1" applyFill="1" applyBorder="1" applyAlignment="1">
      <alignment horizontal="left" vertical="center"/>
    </xf>
    <xf numFmtId="0" fontId="42" fillId="19" borderId="50" xfId="0" applyFont="1" applyFill="1" applyBorder="1" applyAlignment="1">
      <alignment horizontal="left" vertical="center"/>
    </xf>
    <xf numFmtId="0" fontId="42" fillId="19" borderId="51" xfId="0" applyFont="1" applyFill="1" applyBorder="1" applyAlignment="1">
      <alignment horizontal="left" vertical="center"/>
    </xf>
    <xf numFmtId="0" fontId="0" fillId="0" borderId="49" xfId="0" applyBorder="1" applyAlignment="1">
      <alignment horizontal="left" vertical="top"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1" fillId="19" borderId="3" xfId="0" applyFont="1" applyFill="1" applyBorder="1" applyAlignment="1">
      <alignment horizontal="left" vertical="center" wrapText="1"/>
    </xf>
    <xf numFmtId="0" fontId="34" fillId="0" borderId="0" xfId="0" applyFont="1" applyAlignment="1">
      <alignment horizontal="left" vertical="top" wrapText="1"/>
    </xf>
    <xf numFmtId="0" fontId="49" fillId="0" borderId="0" xfId="0" applyFont="1" applyAlignment="1" applyProtection="1">
      <alignment horizontal="left" wrapText="1"/>
      <protection locked="0"/>
    </xf>
    <xf numFmtId="0" fontId="34" fillId="0" borderId="65" xfId="0" applyFont="1" applyBorder="1" applyAlignment="1">
      <alignment horizontal="left" vertical="top" wrapText="1"/>
    </xf>
    <xf numFmtId="0" fontId="34" fillId="0" borderId="66" xfId="0" applyFont="1" applyBorder="1" applyAlignment="1">
      <alignment horizontal="left" vertical="top" wrapText="1"/>
    </xf>
    <xf numFmtId="0" fontId="30" fillId="17" borderId="34" xfId="0" applyFont="1" applyFill="1" applyBorder="1" applyAlignment="1" applyProtection="1">
      <alignment horizontal="center" vertical="center" textRotation="90"/>
      <protection locked="0"/>
    </xf>
    <xf numFmtId="0" fontId="30" fillId="17" borderId="35" xfId="0" applyFont="1" applyFill="1" applyBorder="1" applyAlignment="1" applyProtection="1">
      <alignment horizontal="center" vertical="center" textRotation="90"/>
      <protection locked="0"/>
    </xf>
    <xf numFmtId="0" fontId="30" fillId="17" borderId="36" xfId="0" applyFont="1" applyFill="1" applyBorder="1" applyAlignment="1" applyProtection="1">
      <alignment horizontal="center" vertical="center" textRotation="90"/>
      <protection locked="0"/>
    </xf>
    <xf numFmtId="0" fontId="34" fillId="0" borderId="0" xfId="0" applyFont="1" applyAlignment="1">
      <alignment horizontal="left" vertical="center" wrapText="1"/>
    </xf>
    <xf numFmtId="0" fontId="34" fillId="0" borderId="47" xfId="0" applyFont="1" applyBorder="1" applyAlignment="1">
      <alignment horizontal="left" vertical="top" wrapText="1"/>
    </xf>
    <xf numFmtId="0" fontId="34" fillId="0" borderId="48" xfId="0" applyFont="1" applyBorder="1" applyAlignment="1">
      <alignment horizontal="left" vertical="top" wrapText="1"/>
    </xf>
    <xf numFmtId="0" fontId="34" fillId="0" borderId="58" xfId="0" applyFont="1" applyBorder="1" applyAlignment="1">
      <alignment horizontal="left" vertical="center" wrapText="1"/>
    </xf>
    <xf numFmtId="0" fontId="34" fillId="0" borderId="59" xfId="0" applyFont="1" applyBorder="1" applyAlignment="1">
      <alignment horizontal="left" vertical="center" wrapText="1"/>
    </xf>
    <xf numFmtId="0" fontId="34" fillId="0" borderId="60" xfId="0" applyFont="1" applyBorder="1" applyAlignment="1">
      <alignment horizontal="left" vertical="center" wrapText="1"/>
    </xf>
    <xf numFmtId="0" fontId="20" fillId="17" borderId="34" xfId="0" applyFont="1" applyFill="1" applyBorder="1" applyAlignment="1" applyProtection="1">
      <alignment horizontal="center" vertical="center" textRotation="90" wrapText="1"/>
      <protection locked="0"/>
    </xf>
    <xf numFmtId="0" fontId="20" fillId="17" borderId="35" xfId="0" applyFont="1" applyFill="1" applyBorder="1" applyAlignment="1" applyProtection="1">
      <alignment horizontal="center" vertical="center" textRotation="90"/>
      <protection locked="0"/>
    </xf>
    <xf numFmtId="0" fontId="3" fillId="13" borderId="34" xfId="0" applyFont="1" applyFill="1" applyBorder="1" applyAlignment="1" applyProtection="1">
      <alignment horizontal="center" vertical="center" textRotation="90"/>
      <protection locked="0"/>
    </xf>
    <xf numFmtId="0" fontId="3" fillId="13" borderId="35" xfId="0" applyFont="1" applyFill="1" applyBorder="1" applyAlignment="1" applyProtection="1">
      <alignment horizontal="center" vertical="center" textRotation="90"/>
      <protection locked="0"/>
    </xf>
    <xf numFmtId="0" fontId="3" fillId="13" borderId="36" xfId="0" applyFont="1" applyFill="1" applyBorder="1" applyAlignment="1" applyProtection="1">
      <alignment horizontal="center" vertical="center" textRotation="90"/>
      <protection locked="0"/>
    </xf>
    <xf numFmtId="0" fontId="1" fillId="13" borderId="34" xfId="0" applyFont="1" applyFill="1" applyBorder="1" applyAlignment="1" applyProtection="1">
      <alignment horizontal="center" vertical="center" textRotation="90" wrapText="1"/>
      <protection locked="0"/>
    </xf>
    <xf numFmtId="0" fontId="1" fillId="13" borderId="35" xfId="0" applyFont="1" applyFill="1" applyBorder="1" applyAlignment="1" applyProtection="1">
      <alignment horizontal="center" vertical="center" textRotation="90" wrapText="1"/>
      <protection locked="0"/>
    </xf>
    <xf numFmtId="0" fontId="3" fillId="13" borderId="34" xfId="0" applyFont="1" applyFill="1" applyBorder="1" applyAlignment="1" applyProtection="1">
      <alignment horizontal="center" vertical="center" textRotation="90" wrapText="1"/>
      <protection locked="0"/>
    </xf>
    <xf numFmtId="0" fontId="3" fillId="13" borderId="35" xfId="0" applyFont="1" applyFill="1" applyBorder="1" applyAlignment="1" applyProtection="1">
      <alignment horizontal="center" vertical="center" textRotation="90" wrapText="1"/>
      <protection locked="0"/>
    </xf>
    <xf numFmtId="0" fontId="3" fillId="13" borderId="36" xfId="0" applyFont="1" applyFill="1" applyBorder="1" applyAlignment="1" applyProtection="1">
      <alignment horizontal="center" vertical="center" textRotation="90" wrapText="1"/>
      <protection locked="0"/>
    </xf>
    <xf numFmtId="0" fontId="3" fillId="18" borderId="34" xfId="0" applyFont="1" applyFill="1" applyBorder="1" applyAlignment="1">
      <alignment horizontal="center" vertical="center" textRotation="90"/>
    </xf>
    <xf numFmtId="0" fontId="3" fillId="18" borderId="35" xfId="0" applyFont="1" applyFill="1" applyBorder="1" applyAlignment="1">
      <alignment horizontal="center" vertical="center" textRotation="90"/>
    </xf>
    <xf numFmtId="0" fontId="3" fillId="18" borderId="36" xfId="0" applyFont="1" applyFill="1" applyBorder="1" applyAlignment="1">
      <alignment horizontal="center" vertical="center" textRotation="90"/>
    </xf>
    <xf numFmtId="0" fontId="20" fillId="18" borderId="34" xfId="0" applyFont="1" applyFill="1" applyBorder="1" applyAlignment="1">
      <alignment horizontal="center" vertical="center" textRotation="90" wrapText="1"/>
    </xf>
    <xf numFmtId="0" fontId="20" fillId="18" borderId="35" xfId="0" applyFont="1" applyFill="1" applyBorder="1" applyAlignment="1">
      <alignment horizontal="center" vertical="center" textRotation="90" wrapText="1"/>
    </xf>
    <xf numFmtId="0" fontId="20" fillId="18" borderId="36" xfId="0" applyFont="1" applyFill="1" applyBorder="1" applyAlignment="1">
      <alignment horizontal="center" vertical="center" textRotation="90" wrapText="1"/>
    </xf>
    <xf numFmtId="0" fontId="1" fillId="0" borderId="20" xfId="0" applyFont="1" applyBorder="1" applyAlignment="1">
      <alignment horizontal="center" vertical="top" wrapText="1"/>
    </xf>
    <xf numFmtId="0" fontId="45" fillId="0" borderId="0" xfId="0" applyFont="1" applyAlignment="1">
      <alignment horizont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13" borderId="43" xfId="0" applyFont="1" applyFill="1" applyBorder="1" applyAlignment="1">
      <alignment horizontal="center" vertical="center" textRotation="90" wrapText="1"/>
    </xf>
    <xf numFmtId="0" fontId="1" fillId="13" borderId="32" xfId="0" applyFont="1" applyFill="1" applyBorder="1" applyAlignment="1">
      <alignment horizontal="center" vertical="center" textRotation="90" wrapText="1"/>
    </xf>
    <xf numFmtId="0" fontId="1" fillId="13" borderId="41" xfId="0" applyFont="1" applyFill="1" applyBorder="1" applyAlignment="1">
      <alignment horizontal="center" vertical="center" textRotation="90" wrapText="1"/>
    </xf>
    <xf numFmtId="0" fontId="40" fillId="0" borderId="5" xfId="0" applyFont="1" applyBorder="1" applyAlignment="1">
      <alignment horizontal="left" vertical="center"/>
    </xf>
    <xf numFmtId="0" fontId="40" fillId="0" borderId="4" xfId="0" applyFont="1" applyBorder="1" applyAlignment="1">
      <alignment horizontal="left" vertical="center"/>
    </xf>
    <xf numFmtId="0" fontId="45" fillId="0" borderId="16" xfId="0" applyFont="1" applyBorder="1" applyAlignment="1">
      <alignment horizontal="left"/>
    </xf>
    <xf numFmtId="0" fontId="45" fillId="0" borderId="2" xfId="0" applyFont="1" applyBorder="1" applyAlignment="1">
      <alignment horizontal="left"/>
    </xf>
    <xf numFmtId="0" fontId="43" fillId="19" borderId="5" xfId="0" applyFont="1" applyFill="1" applyBorder="1" applyAlignment="1">
      <alignment horizontal="center" vertical="center"/>
    </xf>
    <xf numFmtId="0" fontId="43" fillId="19" borderId="4" xfId="0" applyFont="1" applyFill="1" applyBorder="1" applyAlignment="1">
      <alignment horizontal="center" vertical="center"/>
    </xf>
    <xf numFmtId="0" fontId="1" fillId="17" borderId="37" xfId="0" applyFont="1" applyFill="1" applyBorder="1" applyAlignment="1">
      <alignment horizontal="center" vertical="center" textRotation="90"/>
    </xf>
    <xf numFmtId="0" fontId="1" fillId="18" borderId="41" xfId="0" applyFont="1" applyFill="1" applyBorder="1" applyAlignment="1">
      <alignment horizontal="left" vertical="center" wrapText="1" indent="1"/>
    </xf>
    <xf numFmtId="0" fontId="1" fillId="18" borderId="37" xfId="0" applyFont="1" applyFill="1" applyBorder="1" applyAlignment="1">
      <alignment horizontal="left" vertical="center" wrapText="1" indent="1"/>
    </xf>
    <xf numFmtId="165" fontId="24" fillId="7" borderId="39" xfId="0" applyNumberFormat="1" applyFont="1" applyFill="1" applyBorder="1" applyAlignment="1">
      <alignment horizontal="right" vertical="center"/>
    </xf>
    <xf numFmtId="0" fontId="24" fillId="7" borderId="38" xfId="0" applyFont="1" applyFill="1" applyBorder="1" applyAlignment="1">
      <alignment horizontal="left" vertical="center"/>
    </xf>
    <xf numFmtId="0" fontId="46" fillId="19" borderId="0" xfId="0" applyFont="1" applyFill="1" applyAlignment="1">
      <alignment horizontal="left"/>
    </xf>
    <xf numFmtId="0" fontId="20" fillId="19" borderId="40" xfId="0" applyFont="1" applyFill="1" applyBorder="1" applyAlignment="1">
      <alignment horizontal="left" vertical="center" wrapText="1"/>
    </xf>
    <xf numFmtId="0" fontId="0" fillId="18" borderId="41" xfId="0" applyFill="1" applyBorder="1" applyAlignment="1">
      <alignment horizontal="left" vertical="center" wrapText="1"/>
    </xf>
    <xf numFmtId="0" fontId="0" fillId="18" borderId="37" xfId="0" applyFill="1" applyBorder="1" applyAlignment="1">
      <alignment horizontal="left" vertical="center" wrapText="1"/>
    </xf>
    <xf numFmtId="0" fontId="46" fillId="2" borderId="5" xfId="0" applyFont="1" applyFill="1" applyBorder="1" applyAlignment="1" applyProtection="1">
      <alignment horizontal="left" wrapText="1"/>
      <protection locked="0"/>
    </xf>
    <xf numFmtId="0" fontId="46" fillId="2" borderId="8" xfId="0" applyFont="1" applyFill="1" applyBorder="1" applyAlignment="1" applyProtection="1">
      <alignment horizontal="left" wrapText="1"/>
      <protection locked="0"/>
    </xf>
    <xf numFmtId="0" fontId="46" fillId="2" borderId="4" xfId="0" applyFont="1" applyFill="1" applyBorder="1" applyAlignment="1" applyProtection="1">
      <alignment horizontal="left" wrapText="1"/>
      <protection locked="0"/>
    </xf>
    <xf numFmtId="0" fontId="40" fillId="0" borderId="0" xfId="0" applyFont="1" applyAlignment="1">
      <alignment horizontal="center"/>
    </xf>
    <xf numFmtId="0" fontId="7" fillId="0" borderId="0" xfId="0" applyFont="1" applyAlignment="1">
      <alignment horizontal="center" vertical="center"/>
    </xf>
    <xf numFmtId="0" fontId="34" fillId="19" borderId="11" xfId="0" applyFont="1" applyFill="1" applyBorder="1" applyAlignment="1">
      <alignment horizontal="left" vertical="center" wrapText="1" indent="3"/>
    </xf>
    <xf numFmtId="0" fontId="34" fillId="19" borderId="0" xfId="0" applyFont="1" applyFill="1" applyAlignment="1">
      <alignment horizontal="left" vertical="center" wrapText="1" indent="3"/>
    </xf>
    <xf numFmtId="0" fontId="34" fillId="19" borderId="18" xfId="0" applyFont="1" applyFill="1" applyBorder="1" applyAlignment="1">
      <alignment horizontal="left" vertical="center" wrapText="1" indent="3"/>
    </xf>
    <xf numFmtId="0" fontId="24" fillId="7" borderId="27" xfId="0" applyFont="1" applyFill="1" applyBorder="1" applyAlignment="1">
      <alignment horizontal="left" vertical="center" indent="1"/>
    </xf>
    <xf numFmtId="0" fontId="24" fillId="7" borderId="54" xfId="0" applyFont="1" applyFill="1" applyBorder="1" applyAlignment="1">
      <alignment horizontal="left" vertical="center" indent="1"/>
    </xf>
    <xf numFmtId="0" fontId="24" fillId="7" borderId="42" xfId="0" applyFont="1" applyFill="1" applyBorder="1" applyAlignment="1">
      <alignment horizontal="left" vertical="center" indent="1"/>
    </xf>
    <xf numFmtId="0" fontId="24" fillId="7" borderId="52" xfId="0" applyFont="1" applyFill="1" applyBorder="1" applyAlignment="1">
      <alignment horizontal="left" vertical="center" indent="1"/>
    </xf>
    <xf numFmtId="0" fontId="34" fillId="0" borderId="58" xfId="0" applyFont="1" applyBorder="1" applyAlignment="1">
      <alignment horizontal="left" vertical="top" wrapText="1"/>
    </xf>
    <xf numFmtId="0" fontId="34" fillId="0" borderId="59" xfId="0" applyFont="1" applyBorder="1" applyAlignment="1">
      <alignment horizontal="left" vertical="top" wrapText="1"/>
    </xf>
    <xf numFmtId="0" fontId="34" fillId="0" borderId="60" xfId="0" applyFont="1" applyBorder="1" applyAlignment="1">
      <alignment horizontal="left" vertical="top" wrapText="1"/>
    </xf>
    <xf numFmtId="0" fontId="50" fillId="0" borderId="55" xfId="0" applyFont="1" applyBorder="1" applyAlignment="1">
      <alignment horizontal="left" vertical="top"/>
    </xf>
    <xf numFmtId="0" fontId="35" fillId="0" borderId="56" xfId="0" applyFont="1" applyBorder="1" applyAlignment="1">
      <alignment horizontal="left" vertical="top"/>
    </xf>
    <xf numFmtId="0" fontId="35" fillId="0" borderId="57" xfId="0" applyFont="1" applyBorder="1" applyAlignment="1">
      <alignment horizontal="left" vertical="top"/>
    </xf>
    <xf numFmtId="0" fontId="48" fillId="0" borderId="0" xfId="0" applyFont="1" applyAlignment="1">
      <alignment horizontal="left" vertical="top" wrapText="1" indent="1"/>
    </xf>
    <xf numFmtId="0" fontId="8" fillId="38" borderId="3" xfId="0" applyFont="1" applyFill="1" applyBorder="1" applyAlignment="1">
      <alignment horizontal="left" vertical="top"/>
    </xf>
    <xf numFmtId="49" fontId="0" fillId="37" borderId="3" xfId="0" applyNumberFormat="1" applyFill="1" applyBorder="1" applyAlignment="1">
      <alignment horizontal="left" vertical="top" wrapText="1"/>
    </xf>
    <xf numFmtId="49" fontId="0" fillId="37" borderId="3" xfId="0" applyNumberFormat="1" applyFill="1" applyBorder="1" applyAlignment="1">
      <alignment horizontal="left" vertical="top"/>
    </xf>
    <xf numFmtId="0" fontId="3" fillId="2" borderId="28" xfId="0" applyFont="1" applyFill="1" applyBorder="1" applyAlignment="1">
      <alignment horizontal="center" vertical="top"/>
    </xf>
    <xf numFmtId="0" fontId="3" fillId="2" borderId="0" xfId="0" applyFont="1" applyFill="1" applyAlignment="1">
      <alignment horizontal="center" vertical="top"/>
    </xf>
    <xf numFmtId="0" fontId="3" fillId="2" borderId="68" xfId="0" applyFont="1" applyFill="1" applyBorder="1" applyAlignment="1">
      <alignment horizontal="center" vertical="top"/>
    </xf>
    <xf numFmtId="0" fontId="3" fillId="9" borderId="28" xfId="0" applyFont="1" applyFill="1" applyBorder="1" applyAlignment="1">
      <alignment horizontal="center" vertical="top"/>
    </xf>
    <xf numFmtId="0" fontId="3" fillId="9" borderId="0" xfId="0" applyFont="1" applyFill="1" applyAlignment="1">
      <alignment horizontal="center" vertical="top"/>
    </xf>
    <xf numFmtId="0" fontId="3" fillId="9" borderId="68" xfId="0" applyFont="1" applyFill="1" applyBorder="1" applyAlignment="1">
      <alignment horizontal="center" vertical="top"/>
    </xf>
    <xf numFmtId="0" fontId="3" fillId="28" borderId="28" xfId="0" applyFont="1" applyFill="1" applyBorder="1" applyAlignment="1">
      <alignment horizontal="center" vertical="top"/>
    </xf>
    <xf numFmtId="0" fontId="3" fillId="28" borderId="0" xfId="0" applyFont="1" applyFill="1" applyAlignment="1">
      <alignment horizontal="center" vertical="top"/>
    </xf>
    <xf numFmtId="0" fontId="3" fillId="28" borderId="68" xfId="0" applyFont="1" applyFill="1" applyBorder="1" applyAlignment="1">
      <alignment horizontal="center" vertical="top"/>
    </xf>
    <xf numFmtId="0" fontId="3" fillId="7" borderId="28" xfId="0" applyFont="1" applyFill="1" applyBorder="1" applyAlignment="1">
      <alignment horizontal="center" vertical="top"/>
    </xf>
    <xf numFmtId="0" fontId="3" fillId="7" borderId="0" xfId="0" applyFont="1" applyFill="1" applyAlignment="1">
      <alignment horizontal="center" vertical="top"/>
    </xf>
    <xf numFmtId="0" fontId="3" fillId="7" borderId="68" xfId="0" applyFont="1" applyFill="1" applyBorder="1" applyAlignment="1">
      <alignment horizontal="center" vertical="top"/>
    </xf>
    <xf numFmtId="0" fontId="37" fillId="8" borderId="0" xfId="1" applyFont="1" applyFill="1" applyAlignment="1">
      <alignment horizontal="left" vertical="top"/>
    </xf>
  </cellXfs>
  <cellStyles count="3">
    <cellStyle name="Komma 2" xfId="2" xr:uid="{88FF6E75-90D6-4291-B2B5-860A7FBA7045}"/>
    <cellStyle name="Link" xfId="1" builtinId="8"/>
    <cellStyle name="Standard" xfId="0" builtinId="0"/>
  </cellStyles>
  <dxfs count="776">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ill>
        <patternFill patternType="lightUp"/>
      </fill>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strike val="0"/>
        <outline val="0"/>
        <shadow val="0"/>
        <u val="none"/>
        <vertAlign val="baseline"/>
        <sz val="11"/>
        <color rgb="FFFF0000"/>
        <name val="Calibri"/>
        <family val="2"/>
        <scheme val="minor"/>
      </font>
      <numFmt numFmtId="0" formatCode="General"/>
    </dxf>
    <dxf>
      <numFmt numFmtId="14" formatCode="0.00%"/>
      <fill>
        <patternFill patternType="solid">
          <fgColor indexed="64"/>
          <bgColor theme="9" tint="0.59999389629810485"/>
        </patternFill>
      </fill>
    </dxf>
    <dxf>
      <numFmt numFmtId="0" formatCode="General"/>
      <fill>
        <patternFill patternType="solid">
          <fgColor indexed="64"/>
          <bgColor theme="9" tint="0.59999389629810485"/>
        </patternFill>
      </fill>
    </dxf>
    <dxf>
      <numFmt numFmtId="0" formatCode="General"/>
      <fill>
        <patternFill patternType="solid">
          <fgColor indexed="64"/>
          <bgColor theme="9" tint="0.59999389629810485"/>
        </patternFill>
      </fill>
    </dxf>
    <dxf>
      <numFmt numFmtId="14" formatCode="0.00%"/>
      <fill>
        <patternFill patternType="solid">
          <fgColor indexed="64"/>
          <bgColor theme="4" tint="0.59999389629810485"/>
        </patternFill>
      </fill>
    </dxf>
    <dxf>
      <numFmt numFmtId="0" formatCode="General"/>
      <fill>
        <patternFill patternType="solid">
          <fgColor indexed="64"/>
          <bgColor theme="4" tint="0.59999389629810485"/>
        </patternFill>
      </fill>
    </dxf>
    <dxf>
      <numFmt numFmtId="0" formatCode="General"/>
      <fill>
        <patternFill patternType="solid">
          <fgColor indexed="64"/>
          <bgColor theme="4" tint="0.59999389629810485"/>
        </patternFill>
      </fill>
    </dxf>
    <dxf>
      <numFmt numFmtId="14" formatCode="0.00%"/>
      <fill>
        <patternFill patternType="solid">
          <fgColor indexed="64"/>
          <bgColor theme="7" tint="0.59999389629810485"/>
        </patternFill>
      </fill>
    </dxf>
    <dxf>
      <numFmt numFmtId="0" formatCode="General"/>
      <fill>
        <patternFill patternType="solid">
          <fgColor indexed="64"/>
          <bgColor theme="7" tint="0.59999389629810485"/>
        </patternFill>
      </fill>
    </dxf>
    <dxf>
      <numFmt numFmtId="0" formatCode="General"/>
      <fill>
        <patternFill patternType="solid">
          <fgColor indexed="64"/>
          <bgColor theme="7" tint="0.59999389629810485"/>
        </patternFill>
      </fill>
    </dxf>
    <dxf>
      <numFmt numFmtId="14" formatCode="0.00%"/>
      <fill>
        <patternFill patternType="solid">
          <fgColor indexed="64"/>
          <bgColor theme="5" tint="0.59999389629810485"/>
        </patternFill>
      </fill>
    </dxf>
    <dxf>
      <numFmt numFmtId="0" formatCode="General"/>
      <fill>
        <patternFill patternType="solid">
          <fgColor indexed="64"/>
          <bgColor theme="5" tint="0.59999389629810485"/>
        </patternFill>
      </fill>
    </dxf>
    <dxf>
      <numFmt numFmtId="0" formatCode="General"/>
      <fill>
        <patternFill patternType="solid">
          <fgColor indexed="64"/>
          <bgColor theme="5" tint="0.59999389629810485"/>
        </patternFill>
      </fill>
    </dxf>
    <dxf>
      <numFmt numFmtId="0" formatCode="General"/>
    </dxf>
    <dxf>
      <font>
        <strike val="0"/>
        <outline val="0"/>
        <shadow val="0"/>
        <u val="none"/>
        <vertAlign val="baseline"/>
        <sz val="11"/>
        <color rgb="FFFF0000"/>
        <name val="Calibri"/>
        <family val="2"/>
        <scheme val="minor"/>
      </font>
      <numFmt numFmtId="14" formatCode="0.00%"/>
    </dxf>
    <dxf>
      <numFmt numFmtId="14" formatCode="0.00%"/>
    </dxf>
    <dxf>
      <numFmt numFmtId="0" formatCode="General"/>
    </dxf>
    <dxf>
      <numFmt numFmtId="0" formatCode="General"/>
    </dxf>
    <dxf>
      <numFmt numFmtId="14" formatCode="0.00%"/>
    </dxf>
    <dxf>
      <numFmt numFmtId="14" formatCode="0.00%"/>
    </dxf>
    <dxf>
      <numFmt numFmtId="14" formatCode="0.00%"/>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rgb="FF000000"/>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rgb="FF000000"/>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protection locked="1" hidden="0"/>
    </dxf>
    <dxf>
      <border outline="0">
        <left style="thin">
          <color theme="0"/>
        </left>
        <bottom style="thin">
          <color theme="0"/>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protection locked="1" hidden="0"/>
    </dxf>
    <dxf>
      <font>
        <b/>
        <i val="0"/>
        <strike val="0"/>
        <condense val="0"/>
        <extend val="0"/>
        <outline val="0"/>
        <shadow val="0"/>
        <u val="none"/>
        <vertAlign val="baseline"/>
        <sz val="11"/>
        <color theme="0"/>
        <name val="Calibri"/>
        <family val="2"/>
        <scheme val="minor"/>
      </font>
      <fill>
        <patternFill patternType="none">
          <fgColor theme="5"/>
          <bgColor auto="1"/>
        </patternFill>
      </fill>
      <alignment horizontal="general" vertical="top" textRotation="0" wrapText="1" indent="0" justifyLastLine="0" shrinkToFit="0" readingOrder="0"/>
      <border diagonalUp="0" diagonalDown="0" outline="0">
        <left style="thin">
          <color theme="0"/>
        </left>
        <right style="thin">
          <color theme="0"/>
        </right>
        <top/>
        <bottom/>
      </border>
      <protection locked="1" hidden="0"/>
    </dxf>
    <dxf>
      <numFmt numFmtId="0" formatCode="General"/>
      <fill>
        <patternFill patternType="none">
          <fgColor indexed="64"/>
          <bgColor auto="1"/>
        </patternFill>
      </fill>
      <protection locked="1" hidden="0"/>
    </dxf>
    <dxf>
      <numFmt numFmtId="0" formatCode="General"/>
      <fill>
        <patternFill patternType="none">
          <fgColor indexed="64"/>
          <bgColor auto="1"/>
        </patternFill>
      </fill>
      <protection locked="1" hidden="0"/>
    </dxf>
    <dxf>
      <numFmt numFmtId="0" formatCode="General"/>
      <fill>
        <patternFill patternType="none">
          <fgColor indexed="64"/>
          <bgColor auto="1"/>
        </patternFill>
      </fill>
      <protection locked="1" hidden="0"/>
    </dxf>
    <dxf>
      <numFmt numFmtId="0" formatCode="General"/>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ont>
        <b/>
      </font>
      <numFmt numFmtId="0" formatCode="General"/>
      <fill>
        <patternFill patternType="none">
          <fgColor rgb="FF000000"/>
          <bgColor auto="1"/>
        </patternFill>
      </fill>
      <protection locked="1" hidden="0"/>
    </dxf>
    <dxf>
      <numFmt numFmtId="0" formatCode="General"/>
      <fill>
        <patternFill patternType="none">
          <fgColor indexed="64"/>
          <bgColor auto="1"/>
        </patternFill>
      </fill>
      <protection locked="1" hidden="0"/>
    </dxf>
    <dxf>
      <fill>
        <patternFill patternType="none">
          <fgColor indexed="64"/>
          <bgColor auto="1"/>
        </patternFill>
      </fill>
      <protection locked="1" hidden="0"/>
    </dxf>
    <dxf>
      <font>
        <strike val="0"/>
        <outline val="0"/>
        <shadow val="0"/>
        <u val="none"/>
        <vertAlign val="baseline"/>
        <color theme="0"/>
        <name val="Calibri"/>
        <family val="2"/>
        <scheme val="minor"/>
      </font>
      <fill>
        <patternFill patternType="none">
          <bgColor auto="1"/>
        </patternFill>
      </fill>
      <alignment horizontal="general"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family val="2"/>
      </font>
      <fill>
        <patternFill patternType="none">
          <fgColor indexed="64"/>
          <bgColor auto="1"/>
        </patternFill>
      </fill>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family val="2"/>
      </font>
      <fill>
        <patternFill patternType="none">
          <fgColor indexed="64"/>
          <bgColor auto="1"/>
        </patternFill>
      </fill>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family val="2"/>
      </font>
      <fill>
        <patternFill patternType="none">
          <fgColor indexed="64"/>
          <bgColor auto="1"/>
        </patternFill>
      </fill>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family val="2"/>
      </font>
      <fill>
        <patternFill patternType="none">
          <fgColor indexed="64"/>
          <bgColor auto="1"/>
        </patternFill>
      </fill>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165" formatCode="#,##0.0"/>
      <fill>
        <patternFill patternType="solid">
          <fgColor indexed="64"/>
          <bgColor theme="7"/>
        </patternFill>
      </fill>
    </dxf>
    <dxf>
      <font>
        <b/>
      </font>
      <numFmt numFmtId="165" formatCode="#,##0.0"/>
      <fill>
        <patternFill patternType="lightUp">
          <fgColor indexed="64"/>
          <bgColor indexed="65"/>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165" formatCode="#,##0.0"/>
      <fill>
        <patternFill patternType="solid">
          <fgColor indexed="64"/>
          <bgColor theme="7"/>
        </patternFill>
      </fill>
    </dxf>
    <dxf>
      <font>
        <b/>
      </font>
      <numFmt numFmtId="165" formatCode="#,##0.0"/>
      <fill>
        <patternFill patternType="none">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protection locked="0" hidden="0"/>
    </dxf>
    <dxf>
      <font>
        <b/>
        <family val="2"/>
      </font>
      <fill>
        <patternFill patternType="none">
          <fgColor indexed="64"/>
          <bgColor auto="1"/>
        </patternFill>
      </fill>
    </dxf>
    <dxf>
      <fill>
        <patternFill patternType="none">
          <fgColor indexed="64"/>
          <bgColor auto="1"/>
        </patternFill>
      </fill>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numFmt numFmtId="0" formatCode="General"/>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auto="1"/>
        <name val="Calibri"/>
        <family val="2"/>
        <scheme val="minor"/>
      </font>
      <numFmt numFmtId="165" formatCode="#,##0.0"/>
      <fill>
        <patternFill patternType="solid">
          <fgColor indexed="64"/>
          <bgColor theme="7"/>
        </patternFill>
      </fill>
    </dxf>
    <dxf>
      <font>
        <b/>
      </font>
      <numFmt numFmtId="165" formatCode="#,##0.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textRotation="0" wrapText="1" indent="0" justifyLastLine="0" shrinkToFit="0" readingOrder="0"/>
      <protection locked="0" hidden="0"/>
    </dxf>
    <dxf>
      <font>
        <b/>
        <family val="2"/>
      </font>
      <fill>
        <patternFill patternType="none">
          <fgColor indexed="64"/>
          <bgColor auto="1"/>
        </patternFill>
      </fill>
    </dxf>
    <dxf>
      <fill>
        <patternFill patternType="none">
          <fgColor indexed="64"/>
          <bgColor auto="1"/>
        </patternFill>
      </fill>
      <alignment wrapText="1"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alignment horizontal="general" vertical="top" textRotation="0" wrapText="0" indent="0" justifyLastLine="0" shrinkToFit="0" readingOrder="0"/>
      <border outline="0">
        <left style="thin">
          <color indexed="64"/>
        </left>
        <right/>
      </border>
      <protection locked="0" hidden="0"/>
    </dxf>
    <dxf>
      <font>
        <b/>
        <i val="0"/>
        <strike val="0"/>
        <condense val="0"/>
        <extend val="0"/>
        <outline val="0"/>
        <shadow val="0"/>
        <u val="none"/>
        <vertAlign val="baseline"/>
        <sz val="11"/>
        <color auto="1"/>
        <name val="Calibri"/>
        <family val="2"/>
        <scheme val="minor"/>
      </font>
      <numFmt numFmtId="165" formatCode="#,##0.0"/>
      <fill>
        <patternFill patternType="solid">
          <fgColor indexed="64"/>
          <bgColor theme="7"/>
        </patternFill>
      </fill>
    </dxf>
    <dxf>
      <font>
        <b/>
      </font>
      <numFmt numFmtId="165" formatCode="#,##0.0"/>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165" formatCode="#,##0.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3" formatCode="#,##0"/>
    </dxf>
    <dxf>
      <numFmt numFmtId="3" formatCode="#,##0"/>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fill>
        <patternFill patternType="none">
          <fgColor indexed="64"/>
          <bgColor auto="1"/>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protection locked="0" hidden="0"/>
    </dxf>
    <dxf>
      <font>
        <b/>
        <family val="2"/>
      </font>
      <fill>
        <patternFill patternType="none">
          <fgColor indexed="64"/>
          <bgColor auto="1"/>
        </patternFill>
      </fill>
    </dxf>
    <dxf>
      <fill>
        <patternFill patternType="none">
          <fgColor indexed="64"/>
          <bgColor auto="1"/>
        </patternFill>
      </fill>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165" formatCode="#,##0.0"/>
      <fill>
        <patternFill patternType="solid">
          <fgColor indexed="64"/>
          <bgColor theme="7"/>
        </patternFill>
      </fill>
    </dxf>
    <dxf>
      <font>
        <b/>
      </font>
      <numFmt numFmtId="165" formatCode="#,##0.0"/>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0"/>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theme="0"/>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165" formatCode="#,##0.0"/>
      <fill>
        <patternFill patternType="solid">
          <fgColor indexed="64"/>
          <bgColor theme="7"/>
        </patternFill>
      </fill>
    </dxf>
    <dxf>
      <font>
        <b/>
      </font>
      <numFmt numFmtId="165" formatCode="#,##0.0"/>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0"/>
        <name val="Calibri"/>
        <family val="2"/>
        <scheme val="minor"/>
      </font>
      <fill>
        <patternFill patternType="solid">
          <fgColor indexed="64"/>
          <bgColor theme="0"/>
        </patternFill>
      </fill>
    </dxf>
    <dxf>
      <font>
        <b/>
        <i val="0"/>
        <strike val="0"/>
        <condense val="0"/>
        <extend val="0"/>
        <outline val="0"/>
        <shadow val="0"/>
        <u val="none"/>
        <vertAlign val="baseline"/>
        <sz val="11"/>
        <color theme="1"/>
        <name val="Calibri"/>
        <family val="2"/>
        <scheme val="minor"/>
      </font>
      <fill>
        <patternFill patternType="solid">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165" formatCode="#,##0.0"/>
      <fill>
        <patternFill patternType="solid">
          <fgColor indexed="64"/>
          <bgColor theme="7"/>
        </patternFill>
      </fill>
    </dxf>
    <dxf>
      <font>
        <b/>
      </font>
      <numFmt numFmtId="165" formatCode="#,##0.0"/>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0"/>
        </patternFill>
      </fill>
    </dxf>
    <dxf>
      <font>
        <strike val="0"/>
        <outline val="0"/>
        <shadow val="0"/>
        <u val="none"/>
        <vertAlign val="baseline"/>
        <sz val="11"/>
        <color theme="0"/>
        <name val="Calibri"/>
        <family val="2"/>
        <scheme val="minor"/>
      </font>
      <fill>
        <patternFill patternType="solid">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165" formatCode="#,##0.0"/>
      <fill>
        <patternFill patternType="solid">
          <fgColor indexed="64"/>
          <bgColor theme="7"/>
        </patternFill>
      </fill>
    </dxf>
    <dxf>
      <font>
        <b/>
      </font>
      <numFmt numFmtId="165" formatCode="#,##0.0"/>
      <alignment horizontal="general" vertical="top" textRotation="0" wrapText="0"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solid">
          <fgColor indexed="64"/>
          <bgColor indexed="65"/>
        </patternFill>
      </fill>
    </dxf>
    <dxf>
      <font>
        <strike val="0"/>
        <outline val="0"/>
        <shadow val="0"/>
        <u val="none"/>
        <vertAlign val="baseline"/>
        <sz val="11"/>
        <color theme="0"/>
        <name val="Calibri"/>
        <family val="2"/>
        <scheme val="minor"/>
      </font>
      <fill>
        <patternFill patternType="solid">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numFmt numFmtId="165" formatCode="#,##0.0"/>
      <fill>
        <patternFill patternType="solid">
          <fgColor indexed="64"/>
          <bgColor theme="7"/>
        </patternFill>
      </fill>
    </dxf>
    <dxf>
      <font>
        <b/>
      </font>
      <numFmt numFmtId="165" formatCode="#,##0.0"/>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fill>
        <patternFill patternType="solid">
          <fgColor indexed="64"/>
          <bgColor indexed="65"/>
        </patternFill>
      </fill>
    </dxf>
    <dxf>
      <fill>
        <patternFill patternType="solid">
          <fgColor indexed="64"/>
          <bgColor auto="1"/>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numFmt numFmtId="165" formatCode="#,##0.0"/>
      <fill>
        <patternFill patternType="solid">
          <fgColor indexed="64"/>
          <bgColor theme="7"/>
        </patternFill>
      </fill>
    </dxf>
    <dxf>
      <font>
        <b/>
      </font>
      <numFmt numFmtId="165" formatCode="#,##0.0"/>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fill>
        <patternFill patternType="solid">
          <fgColor indexed="64"/>
          <bgColor indexed="65"/>
        </patternFill>
      </fill>
    </dxf>
    <dxf>
      <font>
        <b/>
        <i val="0"/>
        <strike val="0"/>
        <condense val="0"/>
        <extend val="0"/>
        <outline val="0"/>
        <shadow val="0"/>
        <u val="none"/>
        <vertAlign val="baseline"/>
        <sz val="11"/>
        <color theme="1"/>
        <name val="Calibri"/>
        <family val="2"/>
        <scheme val="minor"/>
      </font>
      <numFmt numFmtId="164" formatCode="0.0"/>
      <fill>
        <patternFill patternType="solid">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auto="1"/>
        <name val="Calibri"/>
        <family val="2"/>
        <scheme val="minor"/>
      </font>
      <numFmt numFmtId="165" formatCode="#,##0.0"/>
      <fill>
        <patternFill patternType="solid">
          <fgColor indexed="64"/>
          <bgColor theme="7"/>
        </patternFill>
      </fill>
    </dxf>
    <dxf>
      <font>
        <b/>
      </font>
      <numFmt numFmtId="165" formatCode="#,##0.0"/>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fill>
        <patternFill patternType="lightUp">
          <fgColor indexed="64"/>
          <bgColor indexed="65"/>
        </patternFill>
      </fill>
      <alignment horizontal="general" vertical="top" textRotation="0" indent="0" justifyLastLine="0" shrinkToFit="0" readingOrder="0"/>
      <protection locked="0" hidden="0"/>
    </dxf>
    <dxf>
      <font>
        <b/>
        <i val="0"/>
        <strike val="0"/>
        <condense val="0"/>
        <extend val="0"/>
        <outline val="0"/>
        <shadow val="0"/>
        <u val="none"/>
        <vertAlign val="baseline"/>
        <sz val="11"/>
        <color auto="1"/>
        <name val="Calibri"/>
        <family val="2"/>
        <scheme val="minor"/>
      </font>
      <numFmt numFmtId="165" formatCode="#,##0.0"/>
      <fill>
        <patternFill patternType="solid">
          <fgColor indexed="64"/>
          <bgColor theme="7"/>
        </patternFill>
      </fill>
    </dxf>
    <dxf>
      <font>
        <b/>
      </font>
      <numFmt numFmtId="165" formatCode="#,##0.0"/>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numFmt numFmtId="0" formatCode="General"/>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numFmt numFmtId="3" formatCode="#,##0"/>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minor"/>
      </font>
    </dxf>
    <dxf>
      <alignment horizontal="general" vertical="top" textRotation="0" wrapText="1" indent="0" justifyLastLine="0" shrinkToFit="0" readingOrder="0"/>
      <protection locked="0" hidden="0"/>
    </dxf>
    <dxf>
      <font>
        <b/>
        <i val="0"/>
        <strike val="0"/>
        <condense val="0"/>
        <extend val="0"/>
        <outline val="0"/>
        <shadow val="0"/>
        <u val="none"/>
        <vertAlign val="baseline"/>
        <sz val="11"/>
        <color theme="1"/>
        <name val="Calibri"/>
        <family val="2"/>
        <scheme val="minor"/>
      </font>
    </dxf>
    <dxf>
      <numFmt numFmtId="0" formatCode="General"/>
      <alignment horizontal="general" vertical="top" textRotation="0" wrapText="1" indent="0" justifyLastLine="0" shrinkToFit="0" readingOrder="0"/>
      <protection locked="0" hidden="0"/>
    </dxf>
    <dxf>
      <font>
        <b/>
      </font>
    </dxf>
    <dxf>
      <alignment horizontal="general" vertical="top" textRotation="0" indent="0" justifyLastLine="0" shrinkToFit="0" readingOrder="0"/>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protection locked="0" hidden="0"/>
    </dxf>
    <dxf>
      <protection locked="0" hidden="0"/>
    </dxf>
    <dxf>
      <fill>
        <patternFill patternType="none">
          <fgColor indexed="64"/>
          <bgColor auto="1"/>
        </patternFill>
      </fill>
      <protection locked="0" hidden="0"/>
    </dxf>
    <dxf>
      <fill>
        <patternFill patternType="none">
          <fgColor indexed="64"/>
          <bgColor auto="1"/>
        </patternFill>
      </fill>
      <alignment horizontal="general" vertical="bottom" textRotation="0" wrapText="1" indent="0" justifyLastLine="0" shrinkToFit="0" readingOrder="0"/>
      <protection locked="0" hidden="0"/>
    </dxf>
    <dxf>
      <numFmt numFmtId="0" formatCode="General"/>
      <fill>
        <patternFill patternType="none">
          <fgColor indexed="64"/>
          <bgColor auto="1"/>
        </patternFill>
      </fill>
      <protection locked="0" hidden="0"/>
    </dxf>
    <dxf>
      <fill>
        <patternFill patternType="none">
          <fgColor indexed="64"/>
          <bgColor auto="1"/>
        </patternFill>
      </fill>
      <protection locked="0" hidden="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vertical="top" textRotation="0" wrapText="1" indent="0" justifyLastLine="0" shrinkToFit="0" readingOrder="0"/>
      <border diagonalUp="0" diagonalDown="0">
        <left style="thin">
          <color indexed="64"/>
        </left>
        <right style="thin">
          <color indexed="64"/>
        </right>
        <top/>
        <bottom/>
      </border>
      <protection locked="1" hidden="0"/>
    </dxf>
    <dxf>
      <border>
        <left style="thin">
          <color auto="1"/>
        </left>
        <right style="thin">
          <color auto="1"/>
        </right>
        <top style="thin">
          <color auto="1"/>
        </top>
        <bottom style="thin">
          <color auto="1"/>
        </bottom>
      </border>
    </dxf>
    <dxf>
      <fill>
        <patternFill patternType="solid">
          <fgColor theme="4" tint="0.59999389629810485"/>
          <bgColor theme="4" tint="0.59999389629810485"/>
        </patternFill>
      </fill>
    </dxf>
    <dxf>
      <fill>
        <patternFill>
          <bgColor rgb="FFD9E1F2"/>
        </patternFill>
      </fill>
    </dxf>
    <dxf>
      <fill>
        <patternFill patternType="solid">
          <fgColor theme="4" tint="0.59999389629810485"/>
          <bgColor theme="4" tint="0.59999389629810485"/>
        </patternFill>
      </fill>
    </dxf>
    <dxf>
      <font>
        <b/>
        <color theme="0"/>
      </font>
      <fill>
        <patternFill patternType="solid">
          <fgColor theme="4"/>
          <bgColor theme="4"/>
        </patternFill>
      </fill>
    </dxf>
    <dxf>
      <font>
        <b/>
        <color theme="0"/>
      </font>
      <fill>
        <patternFill patternType="solid">
          <fgColor theme="4"/>
          <bgColor theme="4"/>
        </patternFill>
      </fill>
    </dxf>
    <dxf>
      <font>
        <b/>
        <i val="0"/>
        <color auto="1"/>
      </font>
      <fill>
        <patternFill patternType="solid">
          <fgColor theme="4"/>
          <bgColor theme="4"/>
        </patternFill>
      </fill>
      <border>
        <top style="thick">
          <color theme="0"/>
        </top>
      </border>
    </dxf>
    <dxf>
      <font>
        <b/>
        <i val="0"/>
        <color auto="1"/>
      </font>
      <fill>
        <patternFill patternType="solid">
          <fgColor theme="4"/>
          <bgColor theme="4"/>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5"/>
          <bgColor theme="5"/>
        </patternFill>
      </fill>
    </dxf>
    <dxf>
      <font>
        <b/>
        <color theme="0"/>
      </font>
      <fill>
        <patternFill patternType="solid">
          <fgColor theme="5"/>
          <bgColor theme="5"/>
        </patternFill>
      </fill>
    </dxf>
    <dxf>
      <border>
        <top style="double">
          <color theme="1"/>
        </top>
      </border>
    </dxf>
    <dxf>
      <font>
        <color theme="0"/>
      </font>
      <fill>
        <patternFill patternType="solid">
          <fgColor theme="5"/>
          <bgColor theme="5"/>
        </patternFill>
      </fill>
      <border>
        <bottom style="medium">
          <color theme="1"/>
        </bottom>
      </border>
    </dxf>
    <dxf>
      <font>
        <color theme="1"/>
      </font>
      <border>
        <left style="thin">
          <color auto="1"/>
        </left>
        <right style="thin">
          <color auto="1"/>
        </right>
        <top style="medium">
          <color theme="1"/>
        </top>
        <bottom style="medium">
          <color theme="1"/>
        </bottom>
        <vertical style="thin">
          <color theme="6"/>
        </vertical>
        <horizontal style="thin">
          <color theme="6"/>
        </horizontal>
      </border>
    </dxf>
    <dxf>
      <fill>
        <patternFill patternType="solid">
          <fgColor theme="4" tint="0.59999389629810485"/>
          <bgColor theme="4" tint="0.59999389629810485"/>
        </patternFill>
      </fill>
    </dxf>
    <dxf>
      <fill>
        <patternFill>
          <bgColor rgb="FFEBF6FF"/>
        </patternFill>
      </fill>
    </dxf>
    <dxf>
      <fill>
        <patternFill patternType="solid">
          <fgColor theme="4" tint="0.59999389629810485"/>
          <bgColor rgb="FFB7E2FF"/>
        </patternFill>
      </fill>
    </dxf>
    <dxf>
      <font>
        <b/>
        <color theme="0"/>
      </font>
      <fill>
        <patternFill patternType="solid">
          <fgColor rgb="FF5ABEFF"/>
          <bgColor theme="4"/>
        </patternFill>
      </fill>
    </dxf>
    <dxf>
      <font>
        <b/>
        <color theme="0"/>
      </font>
      <fill>
        <patternFill patternType="solid">
          <fgColor rgb="FF5ABEFF"/>
          <bgColor theme="4"/>
        </patternFill>
      </fill>
    </dxf>
    <dxf>
      <font>
        <b/>
        <i val="0"/>
        <color auto="1"/>
      </font>
      <fill>
        <patternFill patternType="solid">
          <fgColor rgb="FF5ABEFF"/>
          <bgColor rgb="FF5ABEFF"/>
        </patternFill>
      </fill>
      <border>
        <top style="thick">
          <color theme="0"/>
        </top>
      </border>
    </dxf>
    <dxf>
      <font>
        <b/>
        <i val="0"/>
        <color auto="1"/>
      </font>
      <fill>
        <patternFill patternType="solid">
          <fgColor rgb="FF5ABEFF"/>
          <bgColor rgb="FF5ABEFF"/>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
      <fill>
        <patternFill patternType="solid">
          <fgColor theme="4" tint="0.59999389629810485"/>
          <bgColor theme="4" tint="0.59999389629810485"/>
        </patternFill>
      </fill>
    </dxf>
    <dxf>
      <fill>
        <patternFill>
          <bgColor rgb="FFF3F9FF"/>
        </patternFill>
      </fill>
    </dxf>
    <dxf>
      <fill>
        <patternFill patternType="solid">
          <fgColor theme="4" tint="0.59999389629810485"/>
          <bgColor rgb="FFDDF4FF"/>
        </patternFill>
      </fill>
    </dxf>
    <dxf>
      <font>
        <b/>
        <color theme="0"/>
      </font>
      <fill>
        <patternFill patternType="solid">
          <fgColor rgb="FF5ABEFF"/>
          <bgColor theme="4"/>
        </patternFill>
      </fill>
    </dxf>
    <dxf>
      <font>
        <b/>
        <color theme="0"/>
      </font>
      <fill>
        <patternFill patternType="solid">
          <fgColor rgb="FF5ABEFF"/>
          <bgColor theme="4"/>
        </patternFill>
      </fill>
    </dxf>
    <dxf>
      <font>
        <b/>
        <i val="0"/>
        <color auto="1"/>
      </font>
      <fill>
        <patternFill patternType="solid">
          <fgColor rgb="FF5ABEFF"/>
          <bgColor rgb="FFBBE8FF"/>
        </patternFill>
      </fill>
      <border>
        <top style="thick">
          <color theme="0"/>
        </top>
      </border>
    </dxf>
    <dxf>
      <font>
        <b/>
        <i val="0"/>
        <color theme="1"/>
      </font>
      <fill>
        <patternFill patternType="solid">
          <fgColor rgb="FF5ABEFF"/>
          <bgColor rgb="FFBBE8FF"/>
        </patternFill>
      </fill>
      <border>
        <bottom style="thick">
          <color theme="0"/>
        </bottom>
      </border>
    </dxf>
    <dxf>
      <font>
        <color theme="1"/>
      </font>
      <fill>
        <patternFill patternType="solid">
          <fgColor theme="4" tint="0.79998168889431442"/>
          <bgColor theme="4" tint="0.79998168889431442"/>
        </patternFill>
      </fill>
      <border>
        <vertical style="thin">
          <color theme="0"/>
        </vertical>
        <horizontal style="thin">
          <color theme="0"/>
        </horizontal>
      </border>
    </dxf>
  </dxfs>
  <tableStyles count="5" defaultTableStyle="TableStyleMedium2" defaultPivotStyle="PivotStyleLight16">
    <tableStyle name="Beyond Carbon" pivot="0" count="8" xr9:uid="{837E1CD8-3452-4289-960A-4B07BAB46F31}">
      <tableStyleElement type="wholeTable" dxfId="775"/>
      <tableStyleElement type="headerRow" dxfId="774"/>
      <tableStyleElement type="totalRow" dxfId="773"/>
      <tableStyleElement type="firstColumn" dxfId="772"/>
      <tableStyleElement type="lastColumn" dxfId="771"/>
      <tableStyleElement type="firstRowStripe" dxfId="770"/>
      <tableStyleElement type="secondRowStripe" dxfId="769"/>
      <tableStyleElement type="firstColumnStripe" dxfId="768"/>
    </tableStyle>
    <tableStyle name="BilanzPlus" pivot="0" count="8" xr9:uid="{417344F3-F98A-4CF8-9050-3F5E0597B110}">
      <tableStyleElement type="wholeTable" dxfId="767"/>
      <tableStyleElement type="headerRow" dxfId="766"/>
      <tableStyleElement type="totalRow" dxfId="765"/>
      <tableStyleElement type="firstColumn" dxfId="764"/>
      <tableStyleElement type="lastColumn" dxfId="763"/>
      <tableStyleElement type="firstRowStripe" dxfId="762"/>
      <tableStyleElement type="secondRowStripe" dxfId="761"/>
      <tableStyleElement type="firstColumnStripe" dxfId="760"/>
    </tableStyle>
    <tableStyle name="Own Format" pivot="0" count="7" xr9:uid="{967011C9-38A7-48D3-B9C1-937682F651F1}">
      <tableStyleElement type="wholeTable" dxfId="759"/>
      <tableStyleElement type="headerRow" dxfId="758"/>
      <tableStyleElement type="totalRow" dxfId="757"/>
      <tableStyleElement type="firstColumn" dxfId="756"/>
      <tableStyleElement type="lastColumn" dxfId="755"/>
      <tableStyleElement type="firstRowStripe" dxfId="754"/>
      <tableStyleElement type="firstColumnStripe" dxfId="753"/>
    </tableStyle>
    <tableStyle name="Tabelle KBK" pivot="0" count="8" xr9:uid="{EC05C257-E3BD-4109-9263-1EE6D2ADE369}">
      <tableStyleElement type="wholeTable" dxfId="752"/>
      <tableStyleElement type="headerRow" dxfId="751"/>
      <tableStyleElement type="totalRow" dxfId="750"/>
      <tableStyleElement type="firstColumn" dxfId="749"/>
      <tableStyleElement type="lastColumn" dxfId="748"/>
      <tableStyleElement type="firstRowStripe" dxfId="747"/>
      <tableStyleElement type="secondRowStripe" dxfId="746"/>
      <tableStyleElement type="firstColumnStripe" dxfId="745"/>
    </tableStyle>
    <tableStyle name="Tabellenformat Test" pivot="0" count="1" xr9:uid="{A5997440-6DF4-4643-ABD2-9963C7523BCC}">
      <tableStyleElement type="wholeTable" dxfId="744"/>
    </tableStyle>
  </tableStyles>
  <colors>
    <mruColors>
      <color rgb="FFE0D1FF"/>
      <color rgb="FFD8C5FF"/>
      <color rgb="FFC7ABFF"/>
      <color rgb="FF5ABEFF"/>
      <color rgb="FF4472C4"/>
      <color rgb="FF595959"/>
      <color rgb="FF9966FF"/>
      <color rgb="FFFFAFFF"/>
      <color rgb="FFFF66FF"/>
      <color rgb="FFBBE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Gesamtemissionen nach Scope - </a:t>
            </a:r>
            <a:r>
              <a:rPr lang="de-DE" sz="1200" b="1" i="0" u="none" strike="noStrike" kern="1200" spc="0" baseline="0">
                <a:solidFill>
                  <a:sysClr val="windowText" lastClr="000000"/>
                </a:solidFill>
              </a:rPr>
              <a:t>KlimaBilanzKultur (KBK)</a:t>
            </a:r>
            <a:endParaRPr lang="de-DE" sz="1200" b="1"/>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0FF2-42D6-BB53-EDAC07A22F33}"/>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FF2-42D6-BB53-EDAC07A22F33}"/>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5-0FF2-42D6-BB53-EDAC07A22F33}"/>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FF2-42D6-BB53-EDAC07A22F33}"/>
              </c:ext>
            </c:extLst>
          </c:dPt>
          <c:dPt>
            <c:idx val="4"/>
            <c:invertIfNegative val="0"/>
            <c:bubble3D val="0"/>
            <c:spPr>
              <a:solidFill>
                <a:schemeClr val="accent4"/>
              </a:solidFill>
              <a:ln>
                <a:noFill/>
              </a:ln>
              <a:effectLst/>
            </c:spPr>
            <c:extLst>
              <c:ext xmlns:c16="http://schemas.microsoft.com/office/drawing/2014/chart" uri="{C3380CC4-5D6E-409C-BE32-E72D297353CC}">
                <c16:uniqueId val="{00000009-0FF2-42D6-BB53-EDAC07A22F33}"/>
              </c:ext>
            </c:extLst>
          </c:dPt>
          <c:cat>
            <c:strRef>
              <c:extLst>
                <c:ext xmlns:c15="http://schemas.microsoft.com/office/drawing/2012/chart" uri="{02D57815-91ED-43cb-92C2-25804820EDAC}">
                  <c15:fullRef>
                    <c15:sqref>(Ergebnisse!$I$57:$I$59,Ergebnisse!$I$62:$I$63,Ergebnisse!$I$66:$I$72)</c15:sqref>
                  </c15:fullRef>
                </c:ext>
              </c:extLst>
              <c:f>(Ergebnisse!$I$57:$I$59,Ergebnisse!$I$62:$I$63,Ergebnisse!$I$66:$I$68,Ergebnisse!$I$70:$I$71)</c:f>
              <c:strCache>
                <c:ptCount val="10"/>
                <c:pt idx="0">
                  <c:v>Scope 1.1: Emissionen aus stationärer Verbrennung</c:v>
                </c:pt>
                <c:pt idx="1">
                  <c:v>Scope 1.2: Emissionen aus mobiler Verbrennung</c:v>
                </c:pt>
                <c:pt idx="2">
                  <c:v>Scope 1.4: Emissionen aus Verflüchtigungen</c:v>
                </c:pt>
                <c:pt idx="3">
                  <c:v>Scope 2.1: Emissionen aus zugekauftem und 
verbrauchtem Strom</c:v>
                </c:pt>
                <c:pt idx="4">
                  <c:v>Scope 2.2: Emissionen aus weiterer zugekaufter Energie 
(Wärme, Kälte, Dampf, Wasser)</c:v>
                </c:pt>
                <c:pt idx="5">
                  <c:v>Scope 3.1: Eingekaufte Waren und Dienstleistungen</c:v>
                </c:pt>
                <c:pt idx="6">
                  <c:v>Scope 3.3: Brennstoff und energiebezogene Emissionen 
(nicht in Scope 1 und 2 enthalten)</c:v>
                </c:pt>
                <c:pt idx="7">
                  <c:v>Scope 3.4: Transport und Verteilung (vorgelagert)</c:v>
                </c:pt>
                <c:pt idx="8">
                  <c:v>Scope 3.6: Geschäftsreisen</c:v>
                </c:pt>
                <c:pt idx="9">
                  <c:v>Scope 3.7: Pendeln der Mitarbeitenden</c:v>
                </c:pt>
              </c:strCache>
            </c:strRef>
          </c:cat>
          <c:val>
            <c:numRef>
              <c:extLst>
                <c:ext xmlns:c15="http://schemas.microsoft.com/office/drawing/2012/chart" uri="{02D57815-91ED-43cb-92C2-25804820EDAC}">
                  <c15:fullRef>
                    <c15:sqref>(Ergebnisse!$D$57:$D$59,Ergebnisse!$D$62:$D$63,Ergebnisse!$D$66:$D$72)</c15:sqref>
                  </c15:fullRef>
                </c:ext>
              </c:extLst>
              <c:f>(Ergebnisse!$D$57:$D$59,Ergebnisse!$D$62:$D$63,Ergebnisse!$D$66:$D$68,Ergebnisse!$D$70:$D$71)</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C-0FF2-42D6-BB53-EDAC07A22F33}"/>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Emissionen nach Thema - </a:t>
            </a:r>
            <a:r>
              <a:rPr lang="de-DE" sz="1200" b="1" i="0" u="none" strike="noStrike" kern="1200" spc="0" baseline="0">
                <a:solidFill>
                  <a:sysClr val="windowText" lastClr="000000"/>
                </a:solidFill>
              </a:rPr>
              <a:t>KlimaBilanzKultur+ (KBK+) </a:t>
            </a:r>
            <a:endParaRPr lang="de-DE" sz="1200" b="1"/>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manualLayout>
          <c:layoutTarget val="inner"/>
          <c:xMode val="edge"/>
          <c:yMode val="edge"/>
          <c:x val="0.23413343747616663"/>
          <c:y val="0.34258804085592975"/>
          <c:w val="0.7305299509163472"/>
          <c:h val="0.50543867097007811"/>
        </c:manualLayout>
      </c:layout>
      <c:barChart>
        <c:barDir val="bar"/>
        <c:grouping val="clustered"/>
        <c:varyColors val="0"/>
        <c:ser>
          <c:idx val="0"/>
          <c:order val="0"/>
          <c:spPr>
            <a:solidFill>
              <a:srgbClr val="5ABEFF"/>
            </a:solidFill>
            <a:ln>
              <a:noFill/>
            </a:ln>
            <a:effectLst/>
          </c:spPr>
          <c:invertIfNegative val="0"/>
          <c:cat>
            <c:strRef>
              <c:f>Ergebnisse!$C$120:$C$123</c:f>
              <c:strCache>
                <c:ptCount val="4"/>
                <c:pt idx="0">
                  <c:v>Anreise der Besuchenden</c:v>
                </c:pt>
                <c:pt idx="1">
                  <c:v>Einkauf Medien</c:v>
                </c:pt>
                <c:pt idx="2">
                  <c:v>IT-Dienstleistungen</c:v>
                </c:pt>
                <c:pt idx="3">
                  <c:v>Relevante Stoffströme</c:v>
                </c:pt>
              </c:strCache>
            </c:strRef>
          </c:cat>
          <c:val>
            <c:numRef>
              <c:f>Ergebnisse!$G$120:$G$123</c:f>
              <c:numCache>
                <c:formatCode>#,##0.0</c:formatCode>
                <c:ptCount val="4"/>
                <c:pt idx="0">
                  <c:v>0</c:v>
                </c:pt>
                <c:pt idx="1">
                  <c:v>0</c:v>
                </c:pt>
                <c:pt idx="2">
                  <c:v>0</c:v>
                </c:pt>
                <c:pt idx="3">
                  <c:v>0</c:v>
                </c:pt>
              </c:numCache>
            </c:numRef>
          </c:val>
          <c:extLst>
            <c:ext xmlns:c16="http://schemas.microsoft.com/office/drawing/2014/chart" uri="{C3380CC4-5D6E-409C-BE32-E72D297353CC}">
              <c16:uniqueId val="{00000000-36F2-4EEE-A3D2-951C0807EBC1}"/>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sz="1000" b="0" i="0" u="none" strike="noStrike" kern="1200" baseline="0">
                    <a:solidFill>
                      <a:sysClr val="windowText" lastClr="000000"/>
                    </a:solidFill>
                  </a:rPr>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Emissionen nach Thema - </a:t>
            </a:r>
            <a:r>
              <a:rPr lang="de-DE" sz="1200" b="1" i="0" u="none" strike="noStrike" kern="1200" spc="0" baseline="0">
                <a:solidFill>
                  <a:sysClr val="windowText" lastClr="000000"/>
                </a:solidFill>
              </a:rPr>
              <a:t>KBK und KBK+</a:t>
            </a:r>
            <a:endParaRPr lang="de-DE" sz="1200" b="1"/>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barChart>
        <c:barDir val="bar"/>
        <c:grouping val="clustered"/>
        <c:varyColors val="0"/>
        <c:ser>
          <c:idx val="0"/>
          <c:order val="0"/>
          <c:spPr>
            <a:solidFill>
              <a:srgbClr val="4472C4"/>
            </a:solidFill>
            <a:ln>
              <a:noFill/>
            </a:ln>
            <a:effectLst/>
          </c:spPr>
          <c:invertIfNegative val="0"/>
          <c:dPt>
            <c:idx val="8"/>
            <c:invertIfNegative val="0"/>
            <c:bubble3D val="0"/>
            <c:spPr>
              <a:solidFill>
                <a:srgbClr val="5ABEFF"/>
              </a:solidFill>
              <a:ln>
                <a:noFill/>
              </a:ln>
              <a:effectLst/>
            </c:spPr>
            <c:extLst>
              <c:ext xmlns:c16="http://schemas.microsoft.com/office/drawing/2014/chart" uri="{C3380CC4-5D6E-409C-BE32-E72D297353CC}">
                <c16:uniqueId val="{00000000-17E6-4082-B8A8-04EDEAD86E05}"/>
              </c:ext>
            </c:extLst>
          </c:dPt>
          <c:dPt>
            <c:idx val="9"/>
            <c:invertIfNegative val="0"/>
            <c:bubble3D val="0"/>
            <c:spPr>
              <a:solidFill>
                <a:srgbClr val="5ABEFF"/>
              </a:solidFill>
              <a:ln>
                <a:noFill/>
              </a:ln>
              <a:effectLst/>
            </c:spPr>
            <c:extLst>
              <c:ext xmlns:c16="http://schemas.microsoft.com/office/drawing/2014/chart" uri="{C3380CC4-5D6E-409C-BE32-E72D297353CC}">
                <c16:uniqueId val="{00000001-17E6-4082-B8A8-04EDEAD86E05}"/>
              </c:ext>
            </c:extLst>
          </c:dPt>
          <c:dPt>
            <c:idx val="10"/>
            <c:invertIfNegative val="0"/>
            <c:bubble3D val="0"/>
            <c:spPr>
              <a:solidFill>
                <a:srgbClr val="5ABEFF"/>
              </a:solidFill>
              <a:ln>
                <a:noFill/>
              </a:ln>
              <a:effectLst/>
            </c:spPr>
            <c:extLst>
              <c:ext xmlns:c16="http://schemas.microsoft.com/office/drawing/2014/chart" uri="{C3380CC4-5D6E-409C-BE32-E72D297353CC}">
                <c16:uniqueId val="{00000002-17E6-4082-B8A8-04EDEAD86E05}"/>
              </c:ext>
            </c:extLst>
          </c:dPt>
          <c:dPt>
            <c:idx val="11"/>
            <c:invertIfNegative val="0"/>
            <c:bubble3D val="0"/>
            <c:spPr>
              <a:solidFill>
                <a:srgbClr val="5ABEFF"/>
              </a:solidFill>
              <a:ln>
                <a:noFill/>
              </a:ln>
              <a:effectLst/>
            </c:spPr>
            <c:extLst>
              <c:ext xmlns:c16="http://schemas.microsoft.com/office/drawing/2014/chart" uri="{C3380CC4-5D6E-409C-BE32-E72D297353CC}">
                <c16:uniqueId val="{00000003-17E6-4082-B8A8-04EDEAD86E05}"/>
              </c:ext>
            </c:extLst>
          </c:dPt>
          <c:cat>
            <c:strRef>
              <c:f>(Ergebnisse!$C$111:$C$118,Ergebnisse!$C$120:$C$123)</c:f>
              <c:strCache>
                <c:ptCount val="12"/>
                <c:pt idx="0">
                  <c:v>Wärme</c:v>
                </c:pt>
                <c:pt idx="1">
                  <c:v>Strom</c:v>
                </c:pt>
                <c:pt idx="2">
                  <c:v>Kühl- und Kältemittel</c:v>
                </c:pt>
                <c:pt idx="3">
                  <c:v>Fuhrpark</c:v>
                </c:pt>
                <c:pt idx="4">
                  <c:v>Geschäftsreisen</c:v>
                </c:pt>
                <c:pt idx="5">
                  <c:v>Pendeln der Mitarbeitenden</c:v>
                </c:pt>
                <c:pt idx="6">
                  <c:v>Externe</c:v>
                </c:pt>
                <c:pt idx="7">
                  <c:v>Warentransporte</c:v>
                </c:pt>
                <c:pt idx="8">
                  <c:v>Anreise der Besuchenden</c:v>
                </c:pt>
                <c:pt idx="9">
                  <c:v>Einkauf Medien</c:v>
                </c:pt>
                <c:pt idx="10">
                  <c:v>IT-Dienstleistungen</c:v>
                </c:pt>
                <c:pt idx="11">
                  <c:v>Relevante Stoffströme</c:v>
                </c:pt>
              </c:strCache>
            </c:strRef>
          </c:cat>
          <c:val>
            <c:numRef>
              <c:f>(Ergebnisse!$G$111:$G$118,Ergebnisse!$G$120:$G$123)</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A3A-4162-BE43-AFA75F878F10}"/>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sz="1000" b="0" i="0" u="none" strike="noStrike" kern="1200" baseline="0">
                    <a:solidFill>
                      <a:sysClr val="windowText" lastClr="000000"/>
                    </a:solidFill>
                  </a:rPr>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Emissionen nach Thema - </a:t>
            </a:r>
            <a:r>
              <a:rPr lang="de-DE" sz="1200" b="1" i="0" u="none" strike="noStrike" kern="1200" spc="0" baseline="0">
                <a:solidFill>
                  <a:sysClr val="windowText" lastClr="000000"/>
                </a:solidFill>
              </a:rPr>
              <a:t>KlimaBilanzKultur (KBK) </a:t>
            </a:r>
            <a:endParaRPr lang="de-DE" sz="1200" b="1"/>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barChart>
        <c:barDir val="bar"/>
        <c:grouping val="clustered"/>
        <c:varyColors val="0"/>
        <c:ser>
          <c:idx val="0"/>
          <c:order val="0"/>
          <c:spPr>
            <a:solidFill>
              <a:srgbClr val="4472C4"/>
            </a:solidFill>
            <a:ln>
              <a:noFill/>
            </a:ln>
            <a:effectLst/>
          </c:spPr>
          <c:invertIfNegative val="0"/>
          <c:cat>
            <c:strRef>
              <c:f>Ergebnisse!$C$111:$C$118</c:f>
              <c:strCache>
                <c:ptCount val="8"/>
                <c:pt idx="0">
                  <c:v>Wärme</c:v>
                </c:pt>
                <c:pt idx="1">
                  <c:v>Strom</c:v>
                </c:pt>
                <c:pt idx="2">
                  <c:v>Kühl- und Kältemittel</c:v>
                </c:pt>
                <c:pt idx="3">
                  <c:v>Fuhrpark</c:v>
                </c:pt>
                <c:pt idx="4">
                  <c:v>Geschäftsreisen</c:v>
                </c:pt>
                <c:pt idx="5">
                  <c:v>Pendeln der Mitarbeitenden</c:v>
                </c:pt>
                <c:pt idx="6">
                  <c:v>Externe</c:v>
                </c:pt>
                <c:pt idx="7">
                  <c:v>Warentransporte</c:v>
                </c:pt>
              </c:strCache>
            </c:strRef>
          </c:cat>
          <c:val>
            <c:numRef>
              <c:f>Ergebnisse!$G$111:$G$118</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4BB-4A4E-95D1-EAFDDB2EBD0E}"/>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sz="1000" b="0" i="0" u="none" strike="noStrike" kern="1200" baseline="0">
                    <a:solidFill>
                      <a:sysClr val="windowText" lastClr="000000"/>
                    </a:solidFill>
                  </a:rPr>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Gesamtemissionen - </a:t>
            </a:r>
            <a:r>
              <a:rPr lang="de-DE" sz="1200" b="1" i="0" u="none" strike="noStrike" kern="1200" spc="0" baseline="0">
                <a:solidFill>
                  <a:sysClr val="windowText" lastClr="000000">
                    <a:lumMod val="65000"/>
                    <a:lumOff val="35000"/>
                  </a:sysClr>
                </a:solidFill>
              </a:rPr>
              <a:t>KlimaBilanzKultur (KBK) </a:t>
            </a:r>
            <a:br>
              <a:rPr lang="en-US" sz="1200"/>
            </a:br>
            <a:r>
              <a:rPr lang="en-US" sz="1200"/>
              <a:t>[t CO2e]</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30663101487314087"/>
          <c:y val="0.198034385905307"/>
          <c:w val="0.39507152230971126"/>
          <c:h val="0.65564039628801229"/>
        </c:manualLayout>
      </c:layout>
      <c:doughnut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089-4507-B7F7-5351EF6F6CCA}"/>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9089-4507-B7F7-5351EF6F6CCA}"/>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9089-4507-B7F7-5351EF6F6CCA}"/>
              </c:ext>
            </c:extLst>
          </c:dPt>
          <c:dLbls>
            <c:dLbl>
              <c:idx val="0"/>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089-4507-B7F7-5351EF6F6CC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(Ergebnisse!$C$142,Ergebnisse!$C$146,Ergebnisse!$C$155)</c:f>
              <c:strCache>
                <c:ptCount val="3"/>
                <c:pt idx="0">
                  <c:v>Scope 1</c:v>
                </c:pt>
                <c:pt idx="1">
                  <c:v>Scope 2</c:v>
                </c:pt>
                <c:pt idx="2">
                  <c:v>Scope 3</c:v>
                </c:pt>
              </c:strCache>
            </c:strRef>
          </c:cat>
          <c:val>
            <c:numRef>
              <c:f>(Ergebnisse!$D$142,Ergebnisse!$D$146,Ergebnisse!$D$155)</c:f>
              <c:numCache>
                <c:formatCode>#,##0.0</c:formatCode>
                <c:ptCount val="3"/>
                <c:pt idx="0">
                  <c:v>0</c:v>
                </c:pt>
                <c:pt idx="1">
                  <c:v>0</c:v>
                </c:pt>
                <c:pt idx="2">
                  <c:v>0</c:v>
                </c:pt>
              </c:numCache>
            </c:numRef>
          </c:val>
          <c:extLst>
            <c:ext xmlns:c16="http://schemas.microsoft.com/office/drawing/2014/chart" uri="{C3380CC4-5D6E-409C-BE32-E72D297353CC}">
              <c16:uniqueId val="{00000006-9089-4507-B7F7-5351EF6F6CCA}"/>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chart>
  <c:spPr>
    <a:solidFill>
      <a:schemeClr val="bg1"/>
    </a:solidFill>
    <a:ln w="9525"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Gesamtemissionen </a:t>
            </a:r>
            <a:r>
              <a:rPr lang="en-US" sz="1200">
                <a:solidFill>
                  <a:srgbClr val="595959"/>
                </a:solidFill>
              </a:rPr>
              <a:t>- </a:t>
            </a:r>
            <a:r>
              <a:rPr lang="de-DE" sz="1200" b="1" i="0" u="none" strike="noStrike" kern="1200" spc="0" baseline="0">
                <a:solidFill>
                  <a:srgbClr val="595959"/>
                </a:solidFill>
              </a:rPr>
              <a:t>KBK und KBK+</a:t>
            </a:r>
            <a:br>
              <a:rPr lang="en-US" sz="1200">
                <a:solidFill>
                  <a:srgbClr val="595959"/>
                </a:solidFill>
              </a:rPr>
            </a:br>
            <a:r>
              <a:rPr lang="en-US" sz="1200"/>
              <a:t>[t CO2e]</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30663101487314087"/>
          <c:y val="0.198034385905307"/>
          <c:w val="0.39507152230971126"/>
          <c:h val="0.65564039628801229"/>
        </c:manualLayout>
      </c:layout>
      <c:doughnut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689D-4D74-B4F6-0A394FB6D43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689D-4D74-B4F6-0A394FB6D439}"/>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689D-4D74-B4F6-0A394FB6D43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(Ergebnisse!$C$142,Ergebnisse!$C$146,Ergebnisse!$C$155)</c:f>
              <c:strCache>
                <c:ptCount val="3"/>
                <c:pt idx="0">
                  <c:v>Scope 1</c:v>
                </c:pt>
                <c:pt idx="1">
                  <c:v>Scope 2</c:v>
                </c:pt>
                <c:pt idx="2">
                  <c:v>Scope 3</c:v>
                </c:pt>
              </c:strCache>
            </c:strRef>
          </c:cat>
          <c:val>
            <c:numRef>
              <c:f>(Ergebnisse!$F$142,Ergebnisse!$F$146,Ergebnisse!$F$155)</c:f>
              <c:numCache>
                <c:formatCode>#,##0.0</c:formatCode>
                <c:ptCount val="3"/>
                <c:pt idx="0">
                  <c:v>0</c:v>
                </c:pt>
                <c:pt idx="1">
                  <c:v>0</c:v>
                </c:pt>
                <c:pt idx="2">
                  <c:v>0</c:v>
                </c:pt>
              </c:numCache>
            </c:numRef>
          </c:val>
          <c:extLst>
            <c:ext xmlns:c16="http://schemas.microsoft.com/office/drawing/2014/chart" uri="{C3380CC4-5D6E-409C-BE32-E72D297353CC}">
              <c16:uniqueId val="{00000006-689D-4D74-B4F6-0A394FB6D439}"/>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chart>
  <c:spPr>
    <a:solidFill>
      <a:schemeClr val="bg1"/>
    </a:solidFill>
    <a:ln w="9525"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Gesamtemissionen nach Scope - </a:t>
            </a:r>
            <a:r>
              <a:rPr lang="de-DE" sz="1200" b="1" i="0" u="none" strike="noStrike" kern="1200" spc="0" baseline="0">
                <a:solidFill>
                  <a:sysClr val="windowText" lastClr="000000"/>
                </a:solidFill>
              </a:rPr>
              <a:t>KBK und KBK+</a:t>
            </a:r>
            <a:endParaRPr lang="de-DE" sz="1200" b="1" u="none"/>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D063-4D6B-96AB-A2FCC3B1483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063-4D6B-96AB-A2FCC3B1483A}"/>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5-D063-4D6B-96AB-A2FCC3B1483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063-4D6B-96AB-A2FCC3B1483A}"/>
              </c:ext>
            </c:extLst>
          </c:dPt>
          <c:dPt>
            <c:idx val="4"/>
            <c:invertIfNegative val="0"/>
            <c:bubble3D val="0"/>
            <c:spPr>
              <a:solidFill>
                <a:schemeClr val="accent4"/>
              </a:solidFill>
              <a:ln>
                <a:noFill/>
              </a:ln>
              <a:effectLst/>
            </c:spPr>
            <c:extLst>
              <c:ext xmlns:c16="http://schemas.microsoft.com/office/drawing/2014/chart" uri="{C3380CC4-5D6E-409C-BE32-E72D297353CC}">
                <c16:uniqueId val="{00000009-D063-4D6B-96AB-A2FCC3B1483A}"/>
              </c:ext>
            </c:extLst>
          </c:dPt>
          <c:cat>
            <c:strRef>
              <c:f>(Ergebnisse!$I$57:$I$59,Ergebnisse!$I$62:$I$63,Ergebnisse!$I$66:$I$72)</c:f>
              <c:strCache>
                <c:ptCount val="12"/>
                <c:pt idx="0">
                  <c:v>Scope 1.1: Emissionen aus stationärer Verbrennung</c:v>
                </c:pt>
                <c:pt idx="1">
                  <c:v>Scope 1.2: Emissionen aus mobiler Verbrennung</c:v>
                </c:pt>
                <c:pt idx="2">
                  <c:v>Scope 1.4: Emissionen aus Verflüchtigungen</c:v>
                </c:pt>
                <c:pt idx="3">
                  <c:v>Scope 2.1: Emissionen aus zugekauftem und 
verbrauchtem Strom</c:v>
                </c:pt>
                <c:pt idx="4">
                  <c:v>Scope 2.2: Emissionen aus weiterer zugekaufter Energie 
(Wärme, Kälte, Dampf, Wasser)</c:v>
                </c:pt>
                <c:pt idx="5">
                  <c:v>Scope 3.1: Eingekaufte Waren und Dienstleistungen</c:v>
                </c:pt>
                <c:pt idx="6">
                  <c:v>Scope 3.3: Brennstoff und energiebezogene Emissionen 
(nicht in Scope 1 und 2 enthalten)</c:v>
                </c:pt>
                <c:pt idx="7">
                  <c:v>Scope 3.4: Transport und Verteilung (vorgelagert)</c:v>
                </c:pt>
                <c:pt idx="8">
                  <c:v>Scope 3.5: Abfall</c:v>
                </c:pt>
                <c:pt idx="9">
                  <c:v>Scope 3.6: Geschäftsreisen</c:v>
                </c:pt>
                <c:pt idx="10">
                  <c:v>Scope 3.7: Pendeln der Mitarbeitenden</c:v>
                </c:pt>
                <c:pt idx="11">
                  <c:v>Scope 3.9: Transport und Verteilung (nachgelagert)</c:v>
                </c:pt>
              </c:strCache>
            </c:strRef>
          </c:cat>
          <c:val>
            <c:numRef>
              <c:f>(Ergebnisse!$F$57:$F$59,Ergebnisse!$F$62:$F$63,Ergebnisse!$F$66:$F$72)</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D063-4D6B-96AB-A2FCC3B1483A}"/>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alpha val="96000"/>
              </a:srgb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Emissionen nach Thema - </a:t>
            </a:r>
            <a:r>
              <a:rPr lang="de-DE" sz="1200" b="1"/>
              <a:t>KlimaBilanzKultur+ (KBK+)</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manualLayout>
          <c:layoutTarget val="inner"/>
          <c:xMode val="edge"/>
          <c:yMode val="edge"/>
          <c:x val="0.23413343747616663"/>
          <c:y val="0.34258804085592975"/>
          <c:w val="0.7305299509163472"/>
          <c:h val="0.50543867097007811"/>
        </c:manualLayout>
      </c:layout>
      <c:barChart>
        <c:barDir val="bar"/>
        <c:grouping val="clustered"/>
        <c:varyColors val="0"/>
        <c:ser>
          <c:idx val="0"/>
          <c:order val="0"/>
          <c:spPr>
            <a:solidFill>
              <a:srgbClr val="5ABEFF"/>
            </a:solidFill>
            <a:ln>
              <a:noFill/>
            </a:ln>
            <a:effectLst/>
          </c:spPr>
          <c:invertIfNegative val="0"/>
          <c:dPt>
            <c:idx val="0"/>
            <c:invertIfNegative val="0"/>
            <c:bubble3D val="0"/>
            <c:spPr>
              <a:solidFill>
                <a:srgbClr val="5ABEFF"/>
              </a:solidFill>
              <a:ln>
                <a:noFill/>
              </a:ln>
              <a:effectLst/>
            </c:spPr>
            <c:extLst>
              <c:ext xmlns:c16="http://schemas.microsoft.com/office/drawing/2014/chart" uri="{C3380CC4-5D6E-409C-BE32-E72D297353CC}">
                <c16:uniqueId val="{00000001-446F-4258-AC94-6B66C48F5CD2}"/>
              </c:ext>
            </c:extLst>
          </c:dPt>
          <c:cat>
            <c:strRef>
              <c:f>Ergebnisse!$C$38:$C$41</c:f>
              <c:strCache>
                <c:ptCount val="4"/>
                <c:pt idx="0">
                  <c:v>Anreise der Besuchenden</c:v>
                </c:pt>
                <c:pt idx="1">
                  <c:v>Einkauf Medien</c:v>
                </c:pt>
                <c:pt idx="2">
                  <c:v>IT-Dienstleistungen</c:v>
                </c:pt>
                <c:pt idx="3">
                  <c:v>Relevante Stoffströme</c:v>
                </c:pt>
              </c:strCache>
            </c:strRef>
          </c:cat>
          <c:val>
            <c:numRef>
              <c:f>Ergebnisse!$G$38:$G$41</c:f>
              <c:numCache>
                <c:formatCode>#,##0.0</c:formatCode>
                <c:ptCount val="4"/>
                <c:pt idx="0">
                  <c:v>0</c:v>
                </c:pt>
                <c:pt idx="1">
                  <c:v>0</c:v>
                </c:pt>
                <c:pt idx="2">
                  <c:v>0</c:v>
                </c:pt>
                <c:pt idx="3">
                  <c:v>0</c:v>
                </c:pt>
              </c:numCache>
            </c:numRef>
          </c:val>
          <c:extLst>
            <c:ext xmlns:c16="http://schemas.microsoft.com/office/drawing/2014/chart" uri="{C3380CC4-5D6E-409C-BE32-E72D297353CC}">
              <c16:uniqueId val="{00000002-446F-4258-AC94-6B66C48F5CD2}"/>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sz="1000" b="0" i="0" u="none" strike="noStrike" kern="1200" baseline="0">
                    <a:solidFill>
                      <a:sysClr val="windowText" lastClr="000000"/>
                    </a:solidFill>
                  </a:rPr>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Emissionen nach Thema - </a:t>
            </a:r>
            <a:r>
              <a:rPr lang="de-DE" sz="1200" b="1"/>
              <a:t>KBK</a:t>
            </a:r>
            <a:r>
              <a:rPr lang="de-DE" sz="1200" b="1" baseline="0"/>
              <a:t> und </a:t>
            </a:r>
            <a:r>
              <a:rPr lang="de-DE" sz="1200" b="1" i="0" u="none" strike="noStrike" kern="1200" spc="0" baseline="0">
                <a:solidFill>
                  <a:sysClr val="windowText" lastClr="000000"/>
                </a:solidFill>
              </a:rPr>
              <a:t>KBK+</a:t>
            </a:r>
            <a:endParaRPr lang="de-DE" sz="1200" b="1"/>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barChart>
        <c:barDir val="bar"/>
        <c:grouping val="clustered"/>
        <c:varyColors val="0"/>
        <c:ser>
          <c:idx val="0"/>
          <c:order val="0"/>
          <c:spPr>
            <a:solidFill>
              <a:srgbClr val="4472C4"/>
            </a:solidFill>
            <a:ln>
              <a:noFill/>
            </a:ln>
            <a:effectLst/>
          </c:spPr>
          <c:invertIfNegative val="0"/>
          <c:dPt>
            <c:idx val="0"/>
            <c:invertIfNegative val="0"/>
            <c:bubble3D val="0"/>
            <c:spPr>
              <a:solidFill>
                <a:srgbClr val="4472C4"/>
              </a:solidFill>
              <a:ln>
                <a:noFill/>
              </a:ln>
              <a:effectLst/>
            </c:spPr>
            <c:extLst>
              <c:ext xmlns:c16="http://schemas.microsoft.com/office/drawing/2014/chart" uri="{C3380CC4-5D6E-409C-BE32-E72D297353CC}">
                <c16:uniqueId val="{00000001-1185-44BF-91D9-37B355BEBA4B}"/>
              </c:ext>
            </c:extLst>
          </c:dPt>
          <c:dPt>
            <c:idx val="1"/>
            <c:invertIfNegative val="0"/>
            <c:bubble3D val="0"/>
            <c:spPr>
              <a:solidFill>
                <a:srgbClr val="4472C4"/>
              </a:solidFill>
              <a:ln>
                <a:noFill/>
              </a:ln>
              <a:effectLst/>
            </c:spPr>
            <c:extLst>
              <c:ext xmlns:c16="http://schemas.microsoft.com/office/drawing/2014/chart" uri="{C3380CC4-5D6E-409C-BE32-E72D297353CC}">
                <c16:uniqueId val="{00000003-1185-44BF-91D9-37B355BEBA4B}"/>
              </c:ext>
            </c:extLst>
          </c:dPt>
          <c:dPt>
            <c:idx val="3"/>
            <c:invertIfNegative val="0"/>
            <c:bubble3D val="0"/>
            <c:spPr>
              <a:solidFill>
                <a:srgbClr val="4472C4"/>
              </a:solidFill>
              <a:ln>
                <a:noFill/>
              </a:ln>
              <a:effectLst/>
            </c:spPr>
            <c:extLst>
              <c:ext xmlns:c16="http://schemas.microsoft.com/office/drawing/2014/chart" uri="{C3380CC4-5D6E-409C-BE32-E72D297353CC}">
                <c16:uniqueId val="{00000005-1185-44BF-91D9-37B355BEBA4B}"/>
              </c:ext>
            </c:extLst>
          </c:dPt>
          <c:dPt>
            <c:idx val="4"/>
            <c:invertIfNegative val="0"/>
            <c:bubble3D val="0"/>
            <c:spPr>
              <a:solidFill>
                <a:srgbClr val="4472C4"/>
              </a:solidFill>
              <a:ln>
                <a:noFill/>
              </a:ln>
              <a:effectLst/>
            </c:spPr>
            <c:extLst>
              <c:ext xmlns:c16="http://schemas.microsoft.com/office/drawing/2014/chart" uri="{C3380CC4-5D6E-409C-BE32-E72D297353CC}">
                <c16:uniqueId val="{00000007-1185-44BF-91D9-37B355BEBA4B}"/>
              </c:ext>
            </c:extLst>
          </c:dPt>
          <c:dPt>
            <c:idx val="5"/>
            <c:invertIfNegative val="0"/>
            <c:bubble3D val="0"/>
            <c:spPr>
              <a:solidFill>
                <a:srgbClr val="4472C4"/>
              </a:solidFill>
              <a:ln>
                <a:noFill/>
              </a:ln>
              <a:effectLst/>
            </c:spPr>
            <c:extLst>
              <c:ext xmlns:c16="http://schemas.microsoft.com/office/drawing/2014/chart" uri="{C3380CC4-5D6E-409C-BE32-E72D297353CC}">
                <c16:uniqueId val="{00000009-1185-44BF-91D9-37B355BEBA4B}"/>
              </c:ext>
            </c:extLst>
          </c:dPt>
          <c:dPt>
            <c:idx val="8"/>
            <c:invertIfNegative val="0"/>
            <c:bubble3D val="0"/>
            <c:spPr>
              <a:solidFill>
                <a:srgbClr val="5ABEFF"/>
              </a:solidFill>
              <a:ln>
                <a:noFill/>
              </a:ln>
              <a:effectLst/>
            </c:spPr>
            <c:extLst>
              <c:ext xmlns:c16="http://schemas.microsoft.com/office/drawing/2014/chart" uri="{C3380CC4-5D6E-409C-BE32-E72D297353CC}">
                <c16:uniqueId val="{0000000B-8434-4619-9858-A78A14F8B5BE}"/>
              </c:ext>
            </c:extLst>
          </c:dPt>
          <c:dPt>
            <c:idx val="9"/>
            <c:invertIfNegative val="0"/>
            <c:bubble3D val="0"/>
            <c:spPr>
              <a:solidFill>
                <a:srgbClr val="5ABEFF"/>
              </a:solidFill>
              <a:ln>
                <a:noFill/>
              </a:ln>
              <a:effectLst/>
            </c:spPr>
            <c:extLst>
              <c:ext xmlns:c16="http://schemas.microsoft.com/office/drawing/2014/chart" uri="{C3380CC4-5D6E-409C-BE32-E72D297353CC}">
                <c16:uniqueId val="{0000000B-1185-44BF-91D9-37B355BEBA4B}"/>
              </c:ext>
            </c:extLst>
          </c:dPt>
          <c:dPt>
            <c:idx val="10"/>
            <c:invertIfNegative val="0"/>
            <c:bubble3D val="0"/>
            <c:spPr>
              <a:solidFill>
                <a:srgbClr val="5ABEFF"/>
              </a:solidFill>
              <a:ln>
                <a:noFill/>
              </a:ln>
              <a:effectLst/>
            </c:spPr>
            <c:extLst>
              <c:ext xmlns:c16="http://schemas.microsoft.com/office/drawing/2014/chart" uri="{C3380CC4-5D6E-409C-BE32-E72D297353CC}">
                <c16:uniqueId val="{0000000F-8434-4619-9858-A78A14F8B5BE}"/>
              </c:ext>
            </c:extLst>
          </c:dPt>
          <c:dPt>
            <c:idx val="11"/>
            <c:invertIfNegative val="0"/>
            <c:bubble3D val="0"/>
            <c:spPr>
              <a:solidFill>
                <a:srgbClr val="5ABEFF"/>
              </a:solidFill>
              <a:ln>
                <a:noFill/>
              </a:ln>
              <a:effectLst/>
            </c:spPr>
            <c:extLst>
              <c:ext xmlns:c16="http://schemas.microsoft.com/office/drawing/2014/chart" uri="{C3380CC4-5D6E-409C-BE32-E72D297353CC}">
                <c16:uniqueId val="{00000011-8434-4619-9858-A78A14F8B5BE}"/>
              </c:ext>
            </c:extLst>
          </c:dPt>
          <c:cat>
            <c:strRef>
              <c:f>(Ergebnisse!$C$29:$C$36,Ergebnisse!$C$38:$C$41)</c:f>
              <c:strCache>
                <c:ptCount val="12"/>
                <c:pt idx="0">
                  <c:v>Wärme</c:v>
                </c:pt>
                <c:pt idx="1">
                  <c:v>Strom</c:v>
                </c:pt>
                <c:pt idx="2">
                  <c:v>Kühl- und Kältemittel</c:v>
                </c:pt>
                <c:pt idx="3">
                  <c:v>Fuhrpark</c:v>
                </c:pt>
                <c:pt idx="4">
                  <c:v>Geschäftsreisen</c:v>
                </c:pt>
                <c:pt idx="5">
                  <c:v>Pendeln der Mitarbeitenden</c:v>
                </c:pt>
                <c:pt idx="6">
                  <c:v>Externe</c:v>
                </c:pt>
                <c:pt idx="7">
                  <c:v>Warentransporte</c:v>
                </c:pt>
                <c:pt idx="8">
                  <c:v>Anreise der Besuchenden</c:v>
                </c:pt>
                <c:pt idx="9">
                  <c:v>Einkauf Medien</c:v>
                </c:pt>
                <c:pt idx="10">
                  <c:v>IT-Dienstleistungen</c:v>
                </c:pt>
                <c:pt idx="11">
                  <c:v>Relevante Stoffströme</c:v>
                </c:pt>
              </c:strCache>
            </c:strRef>
          </c:cat>
          <c:val>
            <c:numRef>
              <c:f>(Ergebnisse!$G$29:$G$36,Ergebnisse!$G$38:$G$41)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0-1185-44BF-91D9-37B355BEBA4B}"/>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sz="1000" b="0" i="0" u="none" strike="noStrike" kern="1200" baseline="0">
                    <a:solidFill>
                      <a:sysClr val="windowText" lastClr="000000"/>
                    </a:solidFill>
                  </a:rPr>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Emissionen nach Thema - </a:t>
            </a:r>
            <a:r>
              <a:rPr lang="de-DE" sz="1200" b="1"/>
              <a:t>KlimaBilanz</a:t>
            </a:r>
            <a:r>
              <a:rPr lang="de-DE" sz="1200" b="1" baseline="0"/>
              <a:t>Kultur (KBK) </a:t>
            </a:r>
            <a:endParaRPr lang="de-DE" sz="1200" b="1"/>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barChart>
        <c:barDir val="bar"/>
        <c:grouping val="clustered"/>
        <c:varyColors val="0"/>
        <c:ser>
          <c:idx val="0"/>
          <c:order val="0"/>
          <c:spPr>
            <a:solidFill>
              <a:srgbClr val="4472C4"/>
            </a:solidFill>
            <a:ln>
              <a:noFill/>
            </a:ln>
            <a:effectLst/>
          </c:spPr>
          <c:invertIfNegative val="0"/>
          <c:dPt>
            <c:idx val="0"/>
            <c:invertIfNegative val="0"/>
            <c:bubble3D val="0"/>
            <c:spPr>
              <a:solidFill>
                <a:srgbClr val="4472C4"/>
              </a:solidFill>
              <a:ln>
                <a:noFill/>
              </a:ln>
              <a:effectLst/>
            </c:spPr>
            <c:extLst>
              <c:ext xmlns:c16="http://schemas.microsoft.com/office/drawing/2014/chart" uri="{C3380CC4-5D6E-409C-BE32-E72D297353CC}">
                <c16:uniqueId val="{00000001-A45D-426B-9B7E-3E1F6C365AF3}"/>
              </c:ext>
            </c:extLst>
          </c:dPt>
          <c:dPt>
            <c:idx val="1"/>
            <c:invertIfNegative val="0"/>
            <c:bubble3D val="0"/>
            <c:spPr>
              <a:solidFill>
                <a:srgbClr val="4472C4"/>
              </a:solidFill>
              <a:ln>
                <a:noFill/>
              </a:ln>
              <a:effectLst/>
            </c:spPr>
            <c:extLst>
              <c:ext xmlns:c16="http://schemas.microsoft.com/office/drawing/2014/chart" uri="{C3380CC4-5D6E-409C-BE32-E72D297353CC}">
                <c16:uniqueId val="{00000003-A45D-426B-9B7E-3E1F6C365AF3}"/>
              </c:ext>
            </c:extLst>
          </c:dPt>
          <c:dPt>
            <c:idx val="3"/>
            <c:invertIfNegative val="0"/>
            <c:bubble3D val="0"/>
            <c:spPr>
              <a:solidFill>
                <a:srgbClr val="4472C4"/>
              </a:solidFill>
              <a:ln>
                <a:noFill/>
              </a:ln>
              <a:effectLst/>
            </c:spPr>
            <c:extLst>
              <c:ext xmlns:c16="http://schemas.microsoft.com/office/drawing/2014/chart" uri="{C3380CC4-5D6E-409C-BE32-E72D297353CC}">
                <c16:uniqueId val="{00000005-A45D-426B-9B7E-3E1F6C365AF3}"/>
              </c:ext>
            </c:extLst>
          </c:dPt>
          <c:dPt>
            <c:idx val="4"/>
            <c:invertIfNegative val="0"/>
            <c:bubble3D val="0"/>
            <c:spPr>
              <a:solidFill>
                <a:srgbClr val="4472C4"/>
              </a:solidFill>
              <a:ln>
                <a:noFill/>
              </a:ln>
              <a:effectLst/>
            </c:spPr>
            <c:extLst>
              <c:ext xmlns:c16="http://schemas.microsoft.com/office/drawing/2014/chart" uri="{C3380CC4-5D6E-409C-BE32-E72D297353CC}">
                <c16:uniqueId val="{00000007-A45D-426B-9B7E-3E1F6C365AF3}"/>
              </c:ext>
            </c:extLst>
          </c:dPt>
          <c:dPt>
            <c:idx val="5"/>
            <c:invertIfNegative val="0"/>
            <c:bubble3D val="0"/>
            <c:spPr>
              <a:solidFill>
                <a:srgbClr val="4472C4"/>
              </a:solidFill>
              <a:ln>
                <a:noFill/>
              </a:ln>
              <a:effectLst/>
            </c:spPr>
            <c:extLst>
              <c:ext xmlns:c16="http://schemas.microsoft.com/office/drawing/2014/chart" uri="{C3380CC4-5D6E-409C-BE32-E72D297353CC}">
                <c16:uniqueId val="{00000009-A45D-426B-9B7E-3E1F6C365AF3}"/>
              </c:ext>
            </c:extLst>
          </c:dPt>
          <c:cat>
            <c:strRef>
              <c:f>Ergebnisse!$C$29:$C$36</c:f>
              <c:strCache>
                <c:ptCount val="8"/>
                <c:pt idx="0">
                  <c:v>Wärme</c:v>
                </c:pt>
                <c:pt idx="1">
                  <c:v>Strom</c:v>
                </c:pt>
                <c:pt idx="2">
                  <c:v>Kühl- und Kältemittel</c:v>
                </c:pt>
                <c:pt idx="3">
                  <c:v>Fuhrpark</c:v>
                </c:pt>
                <c:pt idx="4">
                  <c:v>Geschäftsreisen</c:v>
                </c:pt>
                <c:pt idx="5">
                  <c:v>Pendeln der Mitarbeitenden</c:v>
                </c:pt>
                <c:pt idx="6">
                  <c:v>Externe</c:v>
                </c:pt>
                <c:pt idx="7">
                  <c:v>Warentransporte</c:v>
                </c:pt>
              </c:strCache>
            </c:strRef>
          </c:cat>
          <c:val>
            <c:numRef>
              <c:f>Ergebnisse!$G$29:$G$36</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A-A45D-426B-9B7E-3E1F6C365AF3}"/>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sz="1000" b="0" i="0" u="none" strike="noStrike" kern="1200" baseline="0">
                    <a:solidFill>
                      <a:sysClr val="windowText" lastClr="000000"/>
                    </a:solidFill>
                  </a:rPr>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Gesamtemissionen - </a:t>
            </a:r>
            <a:r>
              <a:rPr lang="de-DE" sz="1200" b="1" i="0" u="none" strike="noStrike" kern="1200" spc="0" baseline="0">
                <a:solidFill>
                  <a:sysClr val="windowText" lastClr="000000">
                    <a:lumMod val="65000"/>
                    <a:lumOff val="35000"/>
                  </a:sysClr>
                </a:solidFill>
              </a:rPr>
              <a:t>KlimaBilanzKultur (KBK)</a:t>
            </a:r>
            <a:br>
              <a:rPr lang="en-US" sz="1200"/>
            </a:br>
            <a:r>
              <a:rPr lang="en-US" sz="1200"/>
              <a:t>[t CO2e]</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30663101487314087"/>
          <c:y val="0.198034385905307"/>
          <c:w val="0.39507152230971126"/>
          <c:h val="0.65564039628801229"/>
        </c:manualLayout>
      </c:layout>
      <c:doughnutChart>
        <c:varyColors val="1"/>
        <c:ser>
          <c:idx val="1"/>
          <c:order val="0"/>
          <c:tx>
            <c:v>Gesamtemissionen [t CO2e]</c:v>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3827-4D65-A4A7-3550E26F7C45}"/>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3827-4D65-A4A7-3550E26F7C45}"/>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3827-4D65-A4A7-3550E26F7C4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(Ergebnisse!$C$60,Ergebnisse!$C$64,Ergebnisse!$C$73)</c:f>
              <c:strCache>
                <c:ptCount val="3"/>
                <c:pt idx="0">
                  <c:v>Scope 1</c:v>
                </c:pt>
                <c:pt idx="1">
                  <c:v>Scope 2</c:v>
                </c:pt>
                <c:pt idx="2">
                  <c:v>Scope 3</c:v>
                </c:pt>
              </c:strCache>
            </c:strRef>
          </c:cat>
          <c:val>
            <c:numRef>
              <c:f>(Ergebnisse!$D$60,Ergebnisse!$D$64,Ergebnisse!$D$73)</c:f>
              <c:numCache>
                <c:formatCode>#,##0.0</c:formatCode>
                <c:ptCount val="3"/>
                <c:pt idx="0">
                  <c:v>0</c:v>
                </c:pt>
                <c:pt idx="1">
                  <c:v>0</c:v>
                </c:pt>
                <c:pt idx="2">
                  <c:v>0</c:v>
                </c:pt>
              </c:numCache>
            </c:numRef>
          </c:val>
          <c:extLst>
            <c:ext xmlns:c16="http://schemas.microsoft.com/office/drawing/2014/chart" uri="{C3380CC4-5D6E-409C-BE32-E72D297353CC}">
              <c16:uniqueId val="{00000006-3827-4D65-A4A7-3550E26F7C4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chart>
  <c:spPr>
    <a:solidFill>
      <a:schemeClr val="bg1"/>
    </a:solidFill>
    <a:ln w="9525"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solidFill>
                  <a:srgbClr val="595959"/>
                </a:solidFill>
              </a:rPr>
              <a:t>Gesamtemissionen - </a:t>
            </a:r>
            <a:r>
              <a:rPr lang="de-DE" sz="1200" b="1" i="0" u="none" strike="noStrike" kern="1200" spc="0" baseline="0">
                <a:solidFill>
                  <a:srgbClr val="595959"/>
                </a:solidFill>
              </a:rPr>
              <a:t>KBK und KBK+</a:t>
            </a:r>
            <a:br>
              <a:rPr lang="de-DE" sz="1200" b="1" i="0" u="none" strike="noStrike" kern="1200" spc="0" baseline="0">
                <a:solidFill>
                  <a:srgbClr val="595959"/>
                </a:solidFill>
              </a:rPr>
            </a:br>
            <a:r>
              <a:rPr lang="en-US" sz="1200">
                <a:solidFill>
                  <a:srgbClr val="595959"/>
                </a:solidFill>
              </a:rPr>
              <a:t>[t CO2e]</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30663101487314087"/>
          <c:y val="0.198034385905307"/>
          <c:w val="0.39507152230971126"/>
          <c:h val="0.65564039628801229"/>
        </c:manualLayout>
      </c:layout>
      <c:doughnutChart>
        <c:varyColors val="1"/>
        <c:ser>
          <c:idx val="1"/>
          <c:order val="0"/>
          <c:tx>
            <c:v>Gesamtemissionen [t CO2e]</c:v>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72D9-43E0-8CAC-836635663455}"/>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72D9-43E0-8CAC-836635663455}"/>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72D9-43E0-8CAC-83663566345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(Ergebnisse!$C$60,Ergebnisse!$C$64,Ergebnisse!$C$73)</c:f>
              <c:strCache>
                <c:ptCount val="3"/>
                <c:pt idx="0">
                  <c:v>Scope 1</c:v>
                </c:pt>
                <c:pt idx="1">
                  <c:v>Scope 2</c:v>
                </c:pt>
                <c:pt idx="2">
                  <c:v>Scope 3</c:v>
                </c:pt>
              </c:strCache>
            </c:strRef>
          </c:cat>
          <c:val>
            <c:numRef>
              <c:f>(Ergebnisse!$F$60,Ergebnisse!$F$64,Ergebnisse!$F$73)</c:f>
              <c:numCache>
                <c:formatCode>#,##0.0</c:formatCode>
                <c:ptCount val="3"/>
                <c:pt idx="0">
                  <c:v>0</c:v>
                </c:pt>
                <c:pt idx="1">
                  <c:v>0</c:v>
                </c:pt>
                <c:pt idx="2">
                  <c:v>0</c:v>
                </c:pt>
              </c:numCache>
            </c:numRef>
          </c:val>
          <c:extLst>
            <c:ext xmlns:c16="http://schemas.microsoft.com/office/drawing/2014/chart" uri="{C3380CC4-5D6E-409C-BE32-E72D297353CC}">
              <c16:uniqueId val="{00000006-72D9-43E0-8CAC-83663566345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chart>
  <c:spPr>
    <a:solidFill>
      <a:schemeClr val="bg1"/>
    </a:solidFill>
    <a:ln w="9525"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Gesamtemissionen nach Scope - </a:t>
            </a:r>
            <a:r>
              <a:rPr lang="de-DE" sz="1200" b="1" i="0" u="none" strike="noStrike" kern="1200" spc="0" baseline="0">
                <a:solidFill>
                  <a:sysClr val="windowText" lastClr="000000"/>
                </a:solidFill>
              </a:rPr>
              <a:t>KlimaBilanzKultur (KBK)</a:t>
            </a:r>
            <a:endParaRPr lang="de-DE" sz="1200" b="1"/>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barChart>
        <c:barDir val="bar"/>
        <c:grouping val="clustered"/>
        <c:varyColors val="0"/>
        <c:ser>
          <c:idx val="1"/>
          <c:order val="0"/>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62B3-48C2-B044-E93AF9D001B3}"/>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3-6437-41E1-AE1A-F4C34F17F99B}"/>
              </c:ext>
            </c:extLst>
          </c:dPt>
          <c:dPt>
            <c:idx val="4"/>
            <c:invertIfNegative val="0"/>
            <c:bubble3D val="0"/>
            <c:spPr>
              <a:solidFill>
                <a:schemeClr val="accent4"/>
              </a:solidFill>
              <a:ln>
                <a:noFill/>
              </a:ln>
              <a:effectLst/>
            </c:spPr>
            <c:extLst>
              <c:ext xmlns:c16="http://schemas.microsoft.com/office/drawing/2014/chart" uri="{C3380CC4-5D6E-409C-BE32-E72D297353CC}">
                <c16:uniqueId val="{00000003-62B3-48C2-B044-E93AF9D001B3}"/>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5-62B3-48C2-B044-E93AF9D001B3}"/>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7-62B3-48C2-B044-E93AF9D001B3}"/>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9-62B3-48C2-B044-E93AF9D001B3}"/>
              </c:ext>
            </c:extLst>
          </c:dPt>
          <c:dPt>
            <c:idx val="8"/>
            <c:invertIfNegative val="0"/>
            <c:bubble3D val="0"/>
            <c:spPr>
              <a:solidFill>
                <a:schemeClr val="accent1"/>
              </a:solidFill>
              <a:ln>
                <a:noFill/>
              </a:ln>
              <a:effectLst/>
            </c:spPr>
            <c:extLst>
              <c:ext xmlns:c16="http://schemas.microsoft.com/office/drawing/2014/chart" uri="{C3380CC4-5D6E-409C-BE32-E72D297353CC}">
                <c16:uniqueId val="{0000000D-6437-41E1-AE1A-F4C34F17F99B}"/>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D-62B3-48C2-B044-E93AF9D001B3}"/>
              </c:ext>
            </c:extLst>
          </c:dPt>
          <c:cat>
            <c:strRef>
              <c:extLst>
                <c:ext xmlns:c15="http://schemas.microsoft.com/office/drawing/2012/chart" uri="{02D57815-91ED-43cb-92C2-25804820EDAC}">
                  <c15:fullRef>
                    <c15:sqref>(Ergebnisse!$I$57:$I$59,Ergebnisse!$I$62:$I$63,Ergebnisse!$I$66:$I$72)</c15:sqref>
                  </c15:fullRef>
                </c:ext>
              </c:extLst>
              <c:f>(Ergebnisse!$I$57:$I$59,Ergebnisse!$I$62:$I$63,Ergebnisse!$I$66:$I$68,Ergebnisse!$I$70:$I$71)</c:f>
              <c:strCache>
                <c:ptCount val="10"/>
                <c:pt idx="0">
                  <c:v>Scope 1.1: Emissionen aus stationärer Verbrennung</c:v>
                </c:pt>
                <c:pt idx="1">
                  <c:v>Scope 1.2: Emissionen aus mobiler Verbrennung</c:v>
                </c:pt>
                <c:pt idx="2">
                  <c:v>Scope 1.4: Emissionen aus Verflüchtigungen</c:v>
                </c:pt>
                <c:pt idx="3">
                  <c:v>Scope 2.1: Emissionen aus zugekauftem und 
verbrauchtem Strom</c:v>
                </c:pt>
                <c:pt idx="4">
                  <c:v>Scope 2.2: Emissionen aus weiterer zugekaufter Energie 
(Wärme, Kälte, Dampf, Wasser)</c:v>
                </c:pt>
                <c:pt idx="5">
                  <c:v>Scope 3.1: Eingekaufte Waren und Dienstleistungen</c:v>
                </c:pt>
                <c:pt idx="6">
                  <c:v>Scope 3.3: Brennstoff und energiebezogene Emissionen 
(nicht in Scope 1 und 2 enthalten)</c:v>
                </c:pt>
                <c:pt idx="7">
                  <c:v>Scope 3.4: Transport und Verteilung (vorgelagert)</c:v>
                </c:pt>
                <c:pt idx="8">
                  <c:v>Scope 3.6: Geschäftsreisen</c:v>
                </c:pt>
                <c:pt idx="9">
                  <c:v>Scope 3.7: Pendeln der Mitarbeitenden</c:v>
                </c:pt>
              </c:strCache>
            </c:strRef>
          </c:cat>
          <c:val>
            <c:numRef>
              <c:extLst>
                <c:ext xmlns:c15="http://schemas.microsoft.com/office/drawing/2012/chart" uri="{02D57815-91ED-43cb-92C2-25804820EDAC}">
                  <c15:fullRef>
                    <c15:sqref>(Ergebnisse!$D$139:$D$141,Ergebnisse!$D$144:$D$145,Ergebnisse!$D$148:$D$154)</c15:sqref>
                  </c15:fullRef>
                </c:ext>
              </c:extLst>
              <c:f>(Ergebnisse!$D$139:$D$141,Ergebnisse!$D$144:$D$145,Ergebnisse!$D$148:$D$150,Ergebnisse!$D$152:$D$153)</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0-62B3-48C2-B044-E93AF9D001B3}"/>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r>
              <a:rPr lang="de-DE" sz="1200"/>
              <a:t>Gesamtemissionen nach Scope - </a:t>
            </a:r>
            <a:r>
              <a:rPr lang="de-DE" sz="1200" b="1" i="0" u="none" strike="noStrike" kern="1200" spc="0" baseline="0">
                <a:solidFill>
                  <a:sysClr val="windowText" lastClr="000000"/>
                </a:solidFill>
              </a:rPr>
              <a:t>KBK und KBK+</a:t>
            </a:r>
            <a:endParaRPr lang="de-DE" sz="1200" b="1" u="none"/>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dk1"/>
              </a:solidFill>
              <a:latin typeface="+mn-lt"/>
              <a:ea typeface="+mn-ea"/>
              <a:cs typeface="+mn-cs"/>
            </a:defRPr>
          </a:pPr>
          <a:endParaRPr lang="de-DE"/>
        </a:p>
      </c:txPr>
    </c:title>
    <c:autoTitleDeleted val="0"/>
    <c:plotArea>
      <c:layout/>
      <c:barChart>
        <c:barDir val="bar"/>
        <c:grouping val="clustered"/>
        <c:varyColors val="0"/>
        <c:ser>
          <c:idx val="1"/>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5BEB-4D47-B06A-407FCE89A136}"/>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3-A63F-4C05-B85E-49143C6CDF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3-5BEB-4D47-B06A-407FCE89A136}"/>
              </c:ext>
            </c:extLst>
          </c:dPt>
          <c:dPt>
            <c:idx val="4"/>
            <c:invertIfNegative val="0"/>
            <c:bubble3D val="0"/>
            <c:spPr>
              <a:solidFill>
                <a:schemeClr val="accent4"/>
              </a:solidFill>
              <a:ln>
                <a:noFill/>
              </a:ln>
              <a:effectLst/>
            </c:spPr>
            <c:extLst>
              <c:ext xmlns:c16="http://schemas.microsoft.com/office/drawing/2014/chart" uri="{C3380CC4-5D6E-409C-BE32-E72D297353CC}">
                <c16:uniqueId val="{00000005-5BEB-4D47-B06A-407FCE89A136}"/>
              </c:ext>
            </c:extLst>
          </c:dPt>
          <c:cat>
            <c:strRef>
              <c:f>(Ergebnisse!$I$57:$I$59,Ergebnisse!$I$62:$I$63,Ergebnisse!$I$66:$I$72)</c:f>
              <c:strCache>
                <c:ptCount val="12"/>
                <c:pt idx="0">
                  <c:v>Scope 1.1: Emissionen aus stationärer Verbrennung</c:v>
                </c:pt>
                <c:pt idx="1">
                  <c:v>Scope 1.2: Emissionen aus mobiler Verbrennung</c:v>
                </c:pt>
                <c:pt idx="2">
                  <c:v>Scope 1.4: Emissionen aus Verflüchtigungen</c:v>
                </c:pt>
                <c:pt idx="3">
                  <c:v>Scope 2.1: Emissionen aus zugekauftem und 
verbrauchtem Strom</c:v>
                </c:pt>
                <c:pt idx="4">
                  <c:v>Scope 2.2: Emissionen aus weiterer zugekaufter Energie 
(Wärme, Kälte, Dampf, Wasser)</c:v>
                </c:pt>
                <c:pt idx="5">
                  <c:v>Scope 3.1: Eingekaufte Waren und Dienstleistungen</c:v>
                </c:pt>
                <c:pt idx="6">
                  <c:v>Scope 3.3: Brennstoff und energiebezogene Emissionen 
(nicht in Scope 1 und 2 enthalten)</c:v>
                </c:pt>
                <c:pt idx="7">
                  <c:v>Scope 3.4: Transport und Verteilung (vorgelagert)</c:v>
                </c:pt>
                <c:pt idx="8">
                  <c:v>Scope 3.5: Abfall</c:v>
                </c:pt>
                <c:pt idx="9">
                  <c:v>Scope 3.6: Geschäftsreisen</c:v>
                </c:pt>
                <c:pt idx="10">
                  <c:v>Scope 3.7: Pendeln der Mitarbeitenden</c:v>
                </c:pt>
                <c:pt idx="11">
                  <c:v>Scope 3.9: Transport und Verteilung (nachgelagert)</c:v>
                </c:pt>
              </c:strCache>
            </c:strRef>
          </c:cat>
          <c:val>
            <c:numRef>
              <c:f>(Ergebnisse!$F$139:$F$141,Ergebnisse!$F$144:$F$145,Ergebnisse!$F$148:$F$154)</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5BEB-4D47-B06A-407FCE89A136}"/>
            </c:ext>
          </c:extLst>
        </c:ser>
        <c:dLbls>
          <c:showLegendKey val="0"/>
          <c:showVal val="0"/>
          <c:showCatName val="0"/>
          <c:showSerName val="0"/>
          <c:showPercent val="0"/>
          <c:showBubbleSize val="0"/>
        </c:dLbls>
        <c:gapWidth val="100"/>
        <c:axId val="1050386991"/>
        <c:axId val="1050387951"/>
      </c:barChart>
      <c:catAx>
        <c:axId val="1050386991"/>
        <c:scaling>
          <c:orientation val="maxMin"/>
        </c:scaling>
        <c:delete val="0"/>
        <c:axPos val="l"/>
        <c:numFmt formatCode="General" sourceLinked="1"/>
        <c:majorTickMark val="none"/>
        <c:minorTickMark val="none"/>
        <c:tickLblPos val="nextTo"/>
        <c:spPr>
          <a:noFill/>
          <a:ln w="9525" cap="flat" cmpd="sng" algn="ctr">
            <a:solidFill>
              <a:srgbClr val="D9D9D9">
                <a:alpha val="96000"/>
              </a:srgbClr>
            </a:solidFill>
            <a:round/>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7951"/>
        <c:crosses val="autoZero"/>
        <c:auto val="0"/>
        <c:lblAlgn val="ctr"/>
        <c:lblOffset val="100"/>
        <c:noMultiLvlLbl val="0"/>
      </c:catAx>
      <c:valAx>
        <c:axId val="1050387951"/>
        <c:scaling>
          <c:orientation val="minMax"/>
        </c:scaling>
        <c:delete val="0"/>
        <c:axPos val="t"/>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r>
                  <a:rPr lang="de-DE"/>
                  <a:t>Treibhausgasemissionen [t CO2e]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de-DE"/>
            </a:p>
          </c:txPr>
        </c:title>
        <c:numFmt formatCode="#,##0" sourceLinked="0"/>
        <c:majorTickMark val="out"/>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de-DE"/>
          </a:p>
        </c:txPr>
        <c:crossAx val="1050386991"/>
        <c:crosses val="autoZero"/>
        <c:crossBetween val="between"/>
      </c:valAx>
      <c:spPr>
        <a:noFill/>
        <a:ln>
          <a:solidFill>
            <a:srgbClr val="D9D9D9"/>
          </a:solidFill>
        </a:ln>
        <a:effectLst/>
      </c:spPr>
    </c:plotArea>
    <c:plotVisOnly val="1"/>
    <c:dispBlanksAs val="gap"/>
    <c:showDLblsOverMax val="0"/>
  </c:chart>
  <c:spPr>
    <a:solidFill>
      <a:schemeClr val="lt1"/>
    </a:solidFill>
    <a:ln w="1270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8</xdr:col>
      <xdr:colOff>90384</xdr:colOff>
      <xdr:row>9</xdr:row>
      <xdr:rowOff>164387</xdr:rowOff>
    </xdr:from>
    <xdr:to>
      <xdr:col>18</xdr:col>
      <xdr:colOff>38099</xdr:colOff>
      <xdr:row>15</xdr:row>
      <xdr:rowOff>1059572</xdr:rowOff>
    </xdr:to>
    <xdr:pic>
      <xdr:nvPicPr>
        <xdr:cNvPr id="79" name="Grafik 78">
          <a:extLst>
            <a:ext uri="{FF2B5EF4-FFF2-40B4-BE49-F238E27FC236}">
              <a16:creationId xmlns:a16="http://schemas.microsoft.com/office/drawing/2014/main" id="{00000000-0008-0000-0000-00004F000000}"/>
            </a:ext>
          </a:extLst>
        </xdr:cNvPr>
        <xdr:cNvPicPr>
          <a:picLocks noChangeAspect="1"/>
        </xdr:cNvPicPr>
      </xdr:nvPicPr>
      <xdr:blipFill rotWithShape="1">
        <a:blip xmlns:r="http://schemas.openxmlformats.org/officeDocument/2006/relationships" r:embed="rId1"/>
        <a:srcRect t="5273" r="-474" b="61"/>
        <a:stretch/>
      </xdr:blipFill>
      <xdr:spPr>
        <a:xfrm>
          <a:off x="8986734" y="3174287"/>
          <a:ext cx="7262915" cy="3765385"/>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495300</xdr:colOff>
          <xdr:row>11</xdr:row>
          <xdr:rowOff>0</xdr:rowOff>
        </xdr:from>
        <xdr:to>
          <xdr:col>6</xdr:col>
          <xdr:colOff>698500</xdr:colOff>
          <xdr:row>11</xdr:row>
          <xdr:rowOff>184150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300-00000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12</xdr:row>
          <xdr:rowOff>0</xdr:rowOff>
        </xdr:from>
        <xdr:to>
          <xdr:col>6</xdr:col>
          <xdr:colOff>698500</xdr:colOff>
          <xdr:row>12</xdr:row>
          <xdr:rowOff>184150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300-00001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13</xdr:row>
          <xdr:rowOff>0</xdr:rowOff>
        </xdr:from>
        <xdr:to>
          <xdr:col>6</xdr:col>
          <xdr:colOff>698500</xdr:colOff>
          <xdr:row>13</xdr:row>
          <xdr:rowOff>184150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300-00001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14</xdr:row>
          <xdr:rowOff>0</xdr:rowOff>
        </xdr:from>
        <xdr:to>
          <xdr:col>6</xdr:col>
          <xdr:colOff>698500</xdr:colOff>
          <xdr:row>14</xdr:row>
          <xdr:rowOff>184150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300-00001F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15</xdr:row>
          <xdr:rowOff>0</xdr:rowOff>
        </xdr:from>
        <xdr:to>
          <xdr:col>6</xdr:col>
          <xdr:colOff>698500</xdr:colOff>
          <xdr:row>15</xdr:row>
          <xdr:rowOff>184150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300-00002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16</xdr:row>
          <xdr:rowOff>0</xdr:rowOff>
        </xdr:from>
        <xdr:to>
          <xdr:col>6</xdr:col>
          <xdr:colOff>698500</xdr:colOff>
          <xdr:row>16</xdr:row>
          <xdr:rowOff>184150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300-00002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17</xdr:row>
          <xdr:rowOff>0</xdr:rowOff>
        </xdr:from>
        <xdr:to>
          <xdr:col>6</xdr:col>
          <xdr:colOff>698500</xdr:colOff>
          <xdr:row>17</xdr:row>
          <xdr:rowOff>184150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300-00002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18</xdr:row>
          <xdr:rowOff>0</xdr:rowOff>
        </xdr:from>
        <xdr:to>
          <xdr:col>6</xdr:col>
          <xdr:colOff>698500</xdr:colOff>
          <xdr:row>18</xdr:row>
          <xdr:rowOff>184150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300-00002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495300</xdr:colOff>
          <xdr:row>11</xdr:row>
          <xdr:rowOff>31750</xdr:rowOff>
        </xdr:from>
        <xdr:to>
          <xdr:col>6</xdr:col>
          <xdr:colOff>698500</xdr:colOff>
          <xdr:row>11</xdr:row>
          <xdr:rowOff>203200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400-00000B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12</xdr:row>
          <xdr:rowOff>31750</xdr:rowOff>
        </xdr:from>
        <xdr:to>
          <xdr:col>6</xdr:col>
          <xdr:colOff>698500</xdr:colOff>
          <xdr:row>12</xdr:row>
          <xdr:rowOff>203200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400-00000C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9</xdr:row>
          <xdr:rowOff>31750</xdr:rowOff>
        </xdr:from>
        <xdr:to>
          <xdr:col>6</xdr:col>
          <xdr:colOff>698500</xdr:colOff>
          <xdr:row>9</xdr:row>
          <xdr:rowOff>222250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400-00000F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10</xdr:row>
          <xdr:rowOff>31750</xdr:rowOff>
        </xdr:from>
        <xdr:to>
          <xdr:col>6</xdr:col>
          <xdr:colOff>698500</xdr:colOff>
          <xdr:row>10</xdr:row>
          <xdr:rowOff>222250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400-000010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889000</xdr:colOff>
          <xdr:row>9</xdr:row>
          <xdr:rowOff>0</xdr:rowOff>
        </xdr:from>
        <xdr:to>
          <xdr:col>5</xdr:col>
          <xdr:colOff>1098550</xdr:colOff>
          <xdr:row>9</xdr:row>
          <xdr:rowOff>184150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500-00000AA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889000</xdr:colOff>
          <xdr:row>10</xdr:row>
          <xdr:rowOff>0</xdr:rowOff>
        </xdr:from>
        <xdr:to>
          <xdr:col>5</xdr:col>
          <xdr:colOff>1098550</xdr:colOff>
          <xdr:row>10</xdr:row>
          <xdr:rowOff>184150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500-00000BA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889000</xdr:colOff>
          <xdr:row>12</xdr:row>
          <xdr:rowOff>0</xdr:rowOff>
        </xdr:from>
        <xdr:to>
          <xdr:col>5</xdr:col>
          <xdr:colOff>1098550</xdr:colOff>
          <xdr:row>12</xdr:row>
          <xdr:rowOff>184150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500-00000CA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889000</xdr:colOff>
          <xdr:row>11</xdr:row>
          <xdr:rowOff>0</xdr:rowOff>
        </xdr:from>
        <xdr:to>
          <xdr:col>5</xdr:col>
          <xdr:colOff>1098550</xdr:colOff>
          <xdr:row>11</xdr:row>
          <xdr:rowOff>184150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500-00000EA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8</xdr:col>
      <xdr:colOff>322</xdr:colOff>
      <xdr:row>54</xdr:row>
      <xdr:rowOff>0</xdr:rowOff>
    </xdr:from>
    <xdr:to>
      <xdr:col>16</xdr:col>
      <xdr:colOff>326722</xdr:colOff>
      <xdr:row>70</xdr:row>
      <xdr:rowOff>0</xdr:rowOff>
    </xdr:to>
    <xdr:graphicFrame macro="">
      <xdr:nvGraphicFramePr>
        <xdr:cNvPr id="2" name="Diagram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446554</xdr:colOff>
      <xdr:row>53</xdr:row>
      <xdr:rowOff>152399</xdr:rowOff>
    </xdr:from>
    <xdr:to>
      <xdr:col>25</xdr:col>
      <xdr:colOff>10954</xdr:colOff>
      <xdr:row>70</xdr:row>
      <xdr:rowOff>0</xdr:rowOff>
    </xdr:to>
    <xdr:graphicFrame macro="">
      <xdr:nvGraphicFramePr>
        <xdr:cNvPr id="3" name="Diagramm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731182</xdr:colOff>
      <xdr:row>39</xdr:row>
      <xdr:rowOff>57432</xdr:rowOff>
    </xdr:from>
    <xdr:to>
      <xdr:col>16</xdr:col>
      <xdr:colOff>284889</xdr:colOff>
      <xdr:row>47</xdr:row>
      <xdr:rowOff>104775</xdr:rowOff>
    </xdr:to>
    <xdr:graphicFrame macro="">
      <xdr:nvGraphicFramePr>
        <xdr:cNvPr id="4" name="Diagramm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446293</xdr:colOff>
      <xdr:row>27</xdr:row>
      <xdr:rowOff>0</xdr:rowOff>
    </xdr:from>
    <xdr:to>
      <xdr:col>25</xdr:col>
      <xdr:colOff>0</xdr:colOff>
      <xdr:row>47</xdr:row>
      <xdr:rowOff>104775</xdr:rowOff>
    </xdr:to>
    <xdr:graphicFrame macro="">
      <xdr:nvGraphicFramePr>
        <xdr:cNvPr id="5" name="Diagramm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729832</xdr:colOff>
      <xdr:row>27</xdr:row>
      <xdr:rowOff>3979</xdr:rowOff>
    </xdr:from>
    <xdr:to>
      <xdr:col>16</xdr:col>
      <xdr:colOff>283539</xdr:colOff>
      <xdr:row>38</xdr:row>
      <xdr:rowOff>233363</xdr:rowOff>
    </xdr:to>
    <xdr:graphicFrame macro="">
      <xdr:nvGraphicFramePr>
        <xdr:cNvPr id="6" name="Diagramm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757918</xdr:colOff>
      <xdr:row>71</xdr:row>
      <xdr:rowOff>0</xdr:rowOff>
    </xdr:from>
    <xdr:to>
      <xdr:col>13</xdr:col>
      <xdr:colOff>757918</xdr:colOff>
      <xdr:row>84</xdr:row>
      <xdr:rowOff>71638</xdr:rowOff>
    </xdr:to>
    <xdr:graphicFrame macro="">
      <xdr:nvGraphicFramePr>
        <xdr:cNvPr id="7" name="Diagramm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435428</xdr:colOff>
      <xdr:row>71</xdr:row>
      <xdr:rowOff>1361</xdr:rowOff>
    </xdr:from>
    <xdr:to>
      <xdr:col>22</xdr:col>
      <xdr:colOff>435428</xdr:colOff>
      <xdr:row>84</xdr:row>
      <xdr:rowOff>67556</xdr:rowOff>
    </xdr:to>
    <xdr:graphicFrame macro="">
      <xdr:nvGraphicFramePr>
        <xdr:cNvPr id="8" name="Diagramm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4404</xdr:colOff>
      <xdr:row>135</xdr:row>
      <xdr:rowOff>155147</xdr:rowOff>
    </xdr:from>
    <xdr:to>
      <xdr:col>16</xdr:col>
      <xdr:colOff>330804</xdr:colOff>
      <xdr:row>151</xdr:row>
      <xdr:rowOff>224118</xdr:rowOff>
    </xdr:to>
    <xdr:graphicFrame macro="">
      <xdr:nvGraphicFramePr>
        <xdr:cNvPr id="9" name="Diagramm 8">
          <a:extLst>
            <a:ext uri="{FF2B5EF4-FFF2-40B4-BE49-F238E27FC236}">
              <a16:creationId xmlns:a16="http://schemas.microsoft.com/office/drawing/2014/main" i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450636</xdr:colOff>
      <xdr:row>136</xdr:row>
      <xdr:rowOff>1624</xdr:rowOff>
    </xdr:from>
    <xdr:to>
      <xdr:col>25</xdr:col>
      <xdr:colOff>15036</xdr:colOff>
      <xdr:row>151</xdr:row>
      <xdr:rowOff>224118</xdr:rowOff>
    </xdr:to>
    <xdr:graphicFrame macro="">
      <xdr:nvGraphicFramePr>
        <xdr:cNvPr id="10" name="Diagramm 9">
          <a:extLst>
            <a:ext uri="{FF2B5EF4-FFF2-40B4-BE49-F238E27FC236}">
              <a16:creationId xmlns:a16="http://schemas.microsoft.com/office/drawing/2014/main" id="{00000000-0008-0000-0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8002</xdr:colOff>
      <xdr:row>121</xdr:row>
      <xdr:rowOff>67882</xdr:rowOff>
    </xdr:from>
    <xdr:to>
      <xdr:col>16</xdr:col>
      <xdr:colOff>323709</xdr:colOff>
      <xdr:row>129</xdr:row>
      <xdr:rowOff>96790</xdr:rowOff>
    </xdr:to>
    <xdr:graphicFrame macro="">
      <xdr:nvGraphicFramePr>
        <xdr:cNvPr id="11" name="Diagramm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459900</xdr:colOff>
      <xdr:row>109</xdr:row>
      <xdr:rowOff>12833</xdr:rowOff>
    </xdr:from>
    <xdr:to>
      <xdr:col>25</xdr:col>
      <xdr:colOff>13607</xdr:colOff>
      <xdr:row>129</xdr:row>
      <xdr:rowOff>89647</xdr:rowOff>
    </xdr:to>
    <xdr:graphicFrame macro="">
      <xdr:nvGraphicFramePr>
        <xdr:cNvPr id="12" name="Diagramm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7633</xdr:colOff>
      <xdr:row>109</xdr:row>
      <xdr:rowOff>29277</xdr:rowOff>
    </xdr:from>
    <xdr:to>
      <xdr:col>16</xdr:col>
      <xdr:colOff>323340</xdr:colOff>
      <xdr:row>121</xdr:row>
      <xdr:rowOff>7425</xdr:rowOff>
    </xdr:to>
    <xdr:graphicFrame macro="">
      <xdr:nvGraphicFramePr>
        <xdr:cNvPr id="13" name="Diagramm 12">
          <a:extLst>
            <a:ext uri="{FF2B5EF4-FFF2-40B4-BE49-F238E27FC236}">
              <a16:creationId xmlns:a16="http://schemas.microsoft.com/office/drawing/2014/main" id="{00000000-0008-0000-06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0</xdr:colOff>
      <xdr:row>153</xdr:row>
      <xdr:rowOff>3308</xdr:rowOff>
    </xdr:from>
    <xdr:to>
      <xdr:col>14</xdr:col>
      <xdr:colOff>0</xdr:colOff>
      <xdr:row>166</xdr:row>
      <xdr:rowOff>67236</xdr:rowOff>
    </xdr:to>
    <xdr:graphicFrame macro="">
      <xdr:nvGraphicFramePr>
        <xdr:cNvPr id="14" name="Diagramm 13">
          <a:extLst>
            <a:ext uri="{FF2B5EF4-FFF2-40B4-BE49-F238E27FC236}">
              <a16:creationId xmlns:a16="http://schemas.microsoft.com/office/drawing/2014/main" id="{00000000-0008-0000-0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16</xdr:col>
      <xdr:colOff>445673</xdr:colOff>
      <xdr:row>152</xdr:row>
      <xdr:rowOff>232148</xdr:rowOff>
    </xdr:from>
    <xdr:to>
      <xdr:col>22</xdr:col>
      <xdr:colOff>445673</xdr:colOff>
      <xdr:row>166</xdr:row>
      <xdr:rowOff>78441</xdr:rowOff>
    </xdr:to>
    <xdr:graphicFrame macro="">
      <xdr:nvGraphicFramePr>
        <xdr:cNvPr id="15" name="Diagramm 14">
          <a:extLst>
            <a:ext uri="{FF2B5EF4-FFF2-40B4-BE49-F238E27FC236}">
              <a16:creationId xmlns:a16="http://schemas.microsoft.com/office/drawing/2014/main" id="{00000000-0008-0000-06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6E8953-4B82-4A45-AE8B-31F68E11ABC5}" name="Tab_Gliederungselemente" displayName="Tab_Gliederungselemente" ref="B9:F29" totalsRowShown="0" headerRowDxfId="743" dataDxfId="742">
  <tableColumns count="5">
    <tableColumn id="1" xr3:uid="{A3471586-A30F-453E-9E27-91D9FCB77F1A}" name="Lfd. Nr." dataDxfId="741">
      <calculatedColumnFormula>ROW()-9</calculatedColumnFormula>
    </tableColumn>
    <tableColumn id="2" xr3:uid="{D14A266D-8F36-479B-8639-3507C359C7FB}" name="Bezeichnung Gliederungselement" dataDxfId="740"/>
    <tableColumn id="3" xr3:uid="{55A5B820-B35D-46BC-B9BF-A0F0DA07A23E}" name="Nettogrundfläche (m2)" dataDxfId="739"/>
    <tableColumn id="5" xr3:uid="{FA78977B-EC59-45C5-903D-9EEA01197786}" name="Anzahl der Mitarbeitenden (Personen) (optional)" dataDxfId="738"/>
    <tableColumn id="4" xr3:uid="{C4FF57CA-3FE5-4ADA-9D11-7A467C81C5CB}" name="Adresse (optional)" dataDxfId="737"/>
  </tableColumns>
  <tableStyleInfo name="Tabelle KBK"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837B6634-5A72-4E55-BBC5-D12FD61DF5E7}" name="Anreise_Besuchende" displayName="Anreise_Besuchende" ref="C19:R40" totalsRowCount="1" headerRowDxfId="436" dataDxfId="435" totalsRowDxfId="434">
  <tableColumns count="16">
    <tableColumn id="20" xr3:uid="{D6AC7871-B561-499A-978C-A5951178C2B6}" name="Sektor_Thema" dataDxfId="433" totalsRowDxfId="432">
      <calculatedColumnFormula>$C$18</calculatedColumnFormula>
    </tableColumn>
    <tableColumn id="3" xr3:uid="{E845A62C-C244-4D12-81ED-2B2F20893813}" name="Zuordnung Gliederungselement (Dropdown)" totalsRowLabel="Summe" dataDxfId="431" totalsRowDxfId="430"/>
    <tableColumn id="4" xr3:uid="{3A983443-5007-4E1F-A9A0-1AD4D3809CC8}" name="Verkehrsmittel (Dropdown)" dataDxfId="429" totalsRowDxfId="428"/>
    <tableColumn id="2" xr3:uid="{AFFD5696-0C52-436B-9011-D70F9D6CA363}" name="Besucheranzahl" totalsRowFunction="sum" dataDxfId="427" totalsRowDxfId="426"/>
    <tableColumn id="1" xr3:uid="{D9C75D5E-96E0-476D-BF47-611F6F9CC5F6}" name="Durchschnittliche Distanz _x000a_(km einfach)" dataDxfId="425" totalsRowDxfId="424"/>
    <tableColumn id="7" xr3:uid="{278B6EF6-7FDD-49BB-A529-7823EEA34ABC}" name="Datenqualität (Dropdown)" dataDxfId="423" totalsRowDxfId="422"/>
    <tableColumn id="8" xr3:uid="{A9C0C46B-ECBA-42E5-8EC8-D7E2D8B34BD7}" name="Notiz - Datenquelle _x000a_(Text)" dataDxfId="421" totalsRowDxfId="420"/>
    <tableColumn id="9" xr3:uid="{1BC1AD99-445F-4F9A-9E92-9EE1E79B79BC}" name="Notiz - Kommentar _x000a_(Text)" dataDxfId="419" totalsRowDxfId="418"/>
    <tableColumn id="23" xr3:uid="{16333862-AA92-43B5-8BAB-4510A3014761}" name="Ergebnis [kg CO2e] (vorausgefüllt)" totalsRowFunction="sum" dataDxfId="417" totalsRowDxfId="416">
      <calculatedColumnFormula>IF(ISBLANK(Anreise_Besuchende[[#This Row],[Besucheranzahl]]),"", SUM(Anreise_Besuchende[[#This Row],[Scope 1 Ergebnis location-based '[kg CO2e']]:[Scope 3 Ergebnis location-based '[kg CO2e']]]))</calculatedColumnFormula>
    </tableColumn>
    <tableColumn id="22" xr3:uid="{60DB7426-0190-4BD3-ABE9-15E65959F287}" name="Thema_Bezeichung" dataDxfId="415" totalsRowDxfId="414">
      <calculatedColumnFormula>IF(ISBLANK(Anreise_Besuchende[[#This Row],[Verkehrsmittel (Dropdown)]]),"",CONCATENATE(Anreise_Besuchende[[#This Row],[Sektor_Thema]]," - ",Anreise_Besuchende[[#This Row],[Verkehrsmittel (Dropdown)]]))</calculatedColumnFormula>
    </tableColumn>
    <tableColumn id="10" xr3:uid="{F007275A-E6D2-42C5-8928-0B0B486C2E9E}" name="Scope 1 Emissionsfaktor [kg CO2e/Einheit]" dataDxfId="413" totalsRowDxfId="412">
      <calculatedColumnFormula>IFERROR(VLOOKUP(Anreise_Besuchende[[#This Row],[Thema_Bezeichung]],EFs_Besuchende[],5,FALSE),"")</calculatedColumnFormula>
    </tableColumn>
    <tableColumn id="11" xr3:uid="{4E704D55-5698-462C-A4D3-15A6BE513911}" name="Scope 2 Emissionsfaktor [kg CO2e/Einheit]" dataDxfId="411" totalsRowDxfId="410">
      <calculatedColumnFormula>IFERROR(VLOOKUP(Anreise_Besuchende[[#This Row],[Thema_Bezeichung]],EFs_Besuchende[],6,FALSE),"")</calculatedColumnFormula>
    </tableColumn>
    <tableColumn id="12" xr3:uid="{9EDF4FAA-2EEA-4BA7-A200-F31E1E90000C}" name="Scope 3 Emissionsfaktor [kg CO2e/Einheit]" dataDxfId="409" totalsRowDxfId="408">
      <calculatedColumnFormula>IFERROR(VLOOKUP(Anreise_Besuchende[[#This Row],[Thema_Bezeichung]],EFs_Besuchende[],7,FALSE),"")</calculatedColumnFormula>
    </tableColumn>
    <tableColumn id="17" xr3:uid="{AA2043F3-8821-4C26-A852-9325143B7543}" name="Scope 1 Ergebnis location-based [kg CO2e]" totalsRowFunction="sum" dataDxfId="407" totalsRowDxfId="406">
      <calculatedColumnFormula>IFERROR(Anreise_Besuchende[[#This Row],[Besucheranzahl]]*Anreise_Besuchende[[#This Row],[Durchschnittliche Distanz 
(km einfach)]]*Anreise_Besuchende[[#This Row],[Scope 1 Emissionsfaktor '[kg CO2e/Einheit']]]*2,"")</calculatedColumnFormula>
    </tableColumn>
    <tableColumn id="18" xr3:uid="{31F82E30-8953-45F8-9649-31E446EDFA12}" name="Scope 2 Ergebnis location-based [kg CO2e]" totalsRowFunction="sum" dataDxfId="405" totalsRowDxfId="404">
      <calculatedColumnFormula>IFERROR(Anreise_Besuchende[[#This Row],[Besucheranzahl]]*Anreise_Besuchende[[#This Row],[Durchschnittliche Distanz 
(km einfach)]]*Anreise_Besuchende[[#This Row],[Scope 2 Emissionsfaktor '[kg CO2e/Einheit']]]*2,"")</calculatedColumnFormula>
    </tableColumn>
    <tableColumn id="19" xr3:uid="{303E21BB-4F97-4A81-9F0F-6204F450C930}" name="Scope 3 Ergebnis location-based [kg CO2e]" totalsRowFunction="sum" dataDxfId="403" totalsRowDxfId="402">
      <calculatedColumnFormula>IFERROR(Anreise_Besuchende[[#This Row],[Besucheranzahl]]*Anreise_Besuchende[[#This Row],[Durchschnittliche Distanz 
(km einfach)]]*Anreise_Besuchende[[#This Row],[Scope 3 Emissionsfaktor '[kg CO2e/Einheit']]]*2,"")</calculatedColumnFormula>
    </tableColumn>
  </tableColumns>
  <tableStyleInfo name="BilanzPlus"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FFDAD9F0-6EA3-4F83-8038-D5A27FC5FFC9}" name="IT_Dienstleistungen" displayName="IT_Dienstleistungen" ref="C73:R94" totalsRowCount="1" headerRowDxfId="401" dataDxfId="400" totalsRowDxfId="399">
  <tableColumns count="16">
    <tableColumn id="20" xr3:uid="{F8058855-6DBB-476F-9AD5-2F5CC0A18F6E}" name="Sektor_Thema" dataDxfId="398" totalsRowDxfId="397">
      <calculatedColumnFormula>$C$72</calculatedColumnFormula>
    </tableColumn>
    <tableColumn id="3" xr3:uid="{1F056BB2-C7B9-4530-A497-F00D41195043}" name="Zuordnung Gliederungselement (Dropdown)" totalsRowLabel="Summe" dataDxfId="396" totalsRowDxfId="395"/>
    <tableColumn id="4" xr3:uid="{5FC27D09-4F80-466B-AD7A-9329891641A7}" name="Emissionsquelle/Aktivität (Dropdown)" dataDxfId="394" totalsRowDxfId="393"/>
    <tableColumn id="6" xr3:uid="{6590F027-BC2B-4339-9E9E-E56CB8262737}" name="Wert _x000a_(Zahl)" dataDxfId="392" totalsRowDxfId="391"/>
    <tableColumn id="5" xr3:uid="{E7DD5886-DD64-4546-8579-DE87D7C45AFA}" name="Einheit _x000a_(vorausgefüllt)" dataDxfId="390" totalsRowDxfId="389">
      <calculatedColumnFormula>IFERROR(VLOOKUP(IT_Dienstleistungen[[#This Row],[Thema_Bezeichung]],Emissionsfaktoren!$C$9:$N$201,4,FALSE),"")</calculatedColumnFormula>
    </tableColumn>
    <tableColumn id="7" xr3:uid="{B3265010-F96E-4AE9-A0ED-6106C073F4DD}" name="Datenqualität Wert (Dropdown)" dataDxfId="388" totalsRowDxfId="387"/>
    <tableColumn id="8" xr3:uid="{519DDF5B-259C-4237-9530-5D1FFE6D1BEA}" name="Notiz - Datenquelle _x000a_(Text)" dataDxfId="386" totalsRowDxfId="385"/>
    <tableColumn id="9" xr3:uid="{EF934517-B4F6-495A-BBEE-9501ABC8776E}" name="Notiz - Kommentar _x000a_(Text)" dataDxfId="384" totalsRowDxfId="383"/>
    <tableColumn id="23" xr3:uid="{BABA8702-275B-4CE3-9E23-566C5123ED9C}" name="Ergebnis [kg CO2e] (vorausgefüllt)" totalsRowFunction="sum" dataDxfId="382" totalsRowDxfId="381">
      <calculatedColumnFormula>IF(ISBLANK(IT_Dienstleistungen[[#This Row],[Wert 
(Zahl)]]),"",SUM(IT_Dienstleistungen[[#This Row],[Scope 1 Ergebnis location-based '[kg CO2e']]:[Scope 3 Ergebnis location-based '[kg CO2e']]]))</calculatedColumnFormula>
    </tableColumn>
    <tableColumn id="22" xr3:uid="{698F7595-1135-4DA5-86EB-4695B85620EB}" name="Thema_Bezeichung" dataDxfId="380" totalsRowDxfId="379">
      <calculatedColumnFormula>IF(ISBLANK(IT_Dienstleistungen[[#This Row],[Emissionsquelle/Aktivität (Dropdown)]]),"",CONCATENATE(IT_Dienstleistungen[[#This Row],[Sektor_Thema]]," - ",IT_Dienstleistungen[[#This Row],[Emissionsquelle/Aktivität (Dropdown)]]))</calculatedColumnFormula>
    </tableColumn>
    <tableColumn id="10" xr3:uid="{935997C2-7F04-4849-88A9-DDB0349CFA9F}" name="Scope 1 Emissionsfaktor [kg CO2e/Einheit]" dataDxfId="378" totalsRowDxfId="377">
      <calculatedColumnFormula>IFERROR(VLOOKUP(IT_Dienstleistungen[[#This Row],[Thema_Bezeichung]],EFs_IT[],5,FALSE),"")</calculatedColumnFormula>
    </tableColumn>
    <tableColumn id="11" xr3:uid="{E4930802-7CB4-447C-A48D-EE6ACE3A0A26}" name="Scope 2 Emissionsfaktor [kg CO2e/Einheit]" dataDxfId="376" totalsRowDxfId="375">
      <calculatedColumnFormula>IFERROR(VLOOKUP(IT_Dienstleistungen[[#This Row],[Thema_Bezeichung]],EFs_IT[],6,FALSE),"")</calculatedColumnFormula>
    </tableColumn>
    <tableColumn id="12" xr3:uid="{E8C535FB-33AC-4CC6-94BF-5B0847263243}" name="Scope 3 Emissionsfaktor [kg CO2e/Einheit]" dataDxfId="374" totalsRowDxfId="373">
      <calculatedColumnFormula>IFERROR(VLOOKUP(IT_Dienstleistungen[[#This Row],[Thema_Bezeichung]],EFs_IT[],7,FALSE),"")</calculatedColumnFormula>
    </tableColumn>
    <tableColumn id="17" xr3:uid="{1DB0BFC9-3E69-4145-BC5D-9CF25B87987F}" name="Scope 1 Ergebnis location-based [kg CO2e]" totalsRowFunction="sum" dataDxfId="372" totalsRowDxfId="371">
      <calculatedColumnFormula>IFERROR(IT_Dienstleistungen[[#This Row],[Wert 
(Zahl)]]*IT_Dienstleistungen[[#This Row],[Scope 1 Emissionsfaktor '[kg CO2e/Einheit']]],"")</calculatedColumnFormula>
    </tableColumn>
    <tableColumn id="18" xr3:uid="{978E2616-5176-41ED-B7C5-D3F29E17D7C8}" name="Scope 2 Ergebnis location-based [kg CO2e]" totalsRowFunction="sum" dataDxfId="370" totalsRowDxfId="369">
      <calculatedColumnFormula>IFERROR(IT_Dienstleistungen[[#This Row],[Wert 
(Zahl)]]*IT_Dienstleistungen[[#This Row],[Scope 2 Emissionsfaktor '[kg CO2e/Einheit']]],"")</calculatedColumnFormula>
    </tableColumn>
    <tableColumn id="19" xr3:uid="{96A594A5-6A00-486C-B38C-6E1000F21274}" name="Scope 3 Ergebnis location-based [kg CO2e]" totalsRowFunction="sum" dataDxfId="368" totalsRowDxfId="367">
      <calculatedColumnFormula>IFERROR(IT_Dienstleistungen[[#This Row],[Wert 
(Zahl)]]*IT_Dienstleistungen[[#This Row],[Scope 3 Emissionsfaktor '[kg CO2e/Einheit']]],"")</calculatedColumnFormula>
    </tableColumn>
  </tableColumns>
  <tableStyleInfo name="BilanzPlus"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022181C-3071-40B4-9498-3EF075105C39}" name="Relevante_Stoffströme" displayName="Relevante_Stoffströme" ref="C100:T121" totalsRowCount="1" headerRowDxfId="366" dataDxfId="365" totalsRowDxfId="364">
  <tableColumns count="18">
    <tableColumn id="20" xr3:uid="{010C213B-69E0-4C8B-84AC-85F3C117352D}" name="Sektor_Thema" dataDxfId="363" totalsRowDxfId="362">
      <calculatedColumnFormula>$C$99</calculatedColumnFormula>
    </tableColumn>
    <tableColumn id="3" xr3:uid="{464AE0F8-C5DC-4C76-AEFB-E4D975393214}" name="Zuordnung Gliederungselement (Dropdown)" totalsRowLabel="Summe" dataDxfId="361" totalsRowDxfId="360"/>
    <tableColumn id="4" xr3:uid="{D607C36F-C1DA-46F7-9F2F-8050EB3A0454}" name="Emissionsquelle/Aktivität (Dropdown)" dataDxfId="359" totalsRowDxfId="358"/>
    <tableColumn id="6" xr3:uid="{42520C6F-D51D-4FE3-87B0-B20E95B84B0E}" name="Wert _x000a_(Zahl)" dataDxfId="357" totalsRowDxfId="356"/>
    <tableColumn id="5" xr3:uid="{CBD27CF2-52E3-4E92-8962-541F276A96A4}" name="Einheit _x000a_(vorausgefüllt)" dataDxfId="355" totalsRowDxfId="354">
      <calculatedColumnFormula>IFERROR(VLOOKUP(Relevante_Stoffströme[[#This Row],[Thema_Bezeichung]],EFs_3135[],4,FALSE),"")</calculatedColumnFormula>
    </tableColumn>
    <tableColumn id="7" xr3:uid="{1161F23B-2DB4-4D76-8A3F-E73D26A0C353}" name="Datenqualität Wert (Dropdown)" dataDxfId="353" totalsRowDxfId="352"/>
    <tableColumn id="8" xr3:uid="{FACEB708-BC2E-4082-ADD3-BC3ADA771E4C}" name="Notiz - Datenquelle _x000a_(Text)" dataDxfId="351" totalsRowDxfId="350"/>
    <tableColumn id="9" xr3:uid="{3B855D72-B6F8-428D-A9FB-582991A16C68}" name="Notiz - Kommentar _x000a_(Text)" dataDxfId="349" totalsRowDxfId="348"/>
    <tableColumn id="26" xr3:uid="{D75BFABF-F1E6-4F06-8F76-131DCA5A0040}" name="Ergebnis [kg CO2e] (vorausgefüllt)" totalsRowFunction="sum" dataDxfId="347" totalsRowDxfId="346">
      <calculatedColumnFormula>IF(ISBLANK(Relevante_Stoffströme[[#This Row],[Wert 
(Zahl)]]),"",SUM(Relevante_Stoffströme[[#This Row],[Scope 1 Ergebnis location-based '[kg CO2e']]:[Scope 3.5 Ergebnis location-based '[kg CO2e']]]))</calculatedColumnFormula>
    </tableColumn>
    <tableColumn id="13" xr3:uid="{53B555E6-D002-4E01-A94A-EFE290B8FCA0}" name="Thema_Bezeichung" dataDxfId="345" totalsRowDxfId="344">
      <calculatedColumnFormula>IF(ISBLANK(Relevante_Stoffströme[[#This Row],[Emissionsquelle/Aktivität (Dropdown)]]),"",CONCATENATE(Relevante_Stoffströme[[#This Row],[Sektor_Thema]]," - ",Relevante_Stoffströme[[#This Row],[Emissionsquelle/Aktivität (Dropdown)]]))</calculatedColumnFormula>
    </tableColumn>
    <tableColumn id="10" xr3:uid="{F64CFCA6-D48A-4ECA-8815-673E84EEE6EE}" name="Scope 1 Emissionsfaktor [kg CO2e/Einheit]" dataDxfId="343" totalsRowDxfId="342">
      <calculatedColumnFormula>IFERROR(VLOOKUP(Relevante_Stoffströme[[#This Row],[Thema_Bezeichung]],EFs_3135[],5,FALSE),"")</calculatedColumnFormula>
    </tableColumn>
    <tableColumn id="11" xr3:uid="{0B51B982-1EBC-4334-AE66-EA9D7ACA642D}" name="Scope 2 Emissionsfaktor [kg CO2e/Einheit]" dataDxfId="341" totalsRowDxfId="340">
      <calculatedColumnFormula>IFERROR(VLOOKUP(Relevante_Stoffströme[[#This Row],[Thema_Bezeichung]],EFs_3135[],6,FALSE),"")</calculatedColumnFormula>
    </tableColumn>
    <tableColumn id="12" xr3:uid="{A8D398BF-CCBD-40FA-9D48-2B2ADAE54052}" name="Scope 3.1 Emissionsfaktor [kg CO2e/Einheit]" dataDxfId="339" totalsRowDxfId="338">
      <calculatedColumnFormula>IFERROR(VLOOKUP(Relevante_Stoffströme[[#This Row],[Thema_Bezeichung]],EFs_3135[],7,FALSE),"")</calculatedColumnFormula>
    </tableColumn>
    <tableColumn id="1" xr3:uid="{DBC4B2E4-2013-416B-99FB-0261FB62762C}" name="Scope 3.5 Emissionsfaktor [kg CO2e/Einheit]" dataDxfId="337" totalsRowDxfId="336">
      <calculatedColumnFormula>IFERROR(VLOOKUP(Relevante_Stoffströme[[#This Row],[Thema_Bezeichung]],EFs_3135[],8,FALSE),"")</calculatedColumnFormula>
    </tableColumn>
    <tableColumn id="16" xr3:uid="{BB0AEEC5-E97E-4443-9A6B-95AFE55350AC}" name="Scope 1 Ergebnis location-based [kg CO2e]" totalsRowFunction="sum" dataDxfId="335" totalsRowDxfId="334">
      <calculatedColumnFormula>IFERROR(Relevante_Stoffströme[[#This Row],[Wert 
(Zahl)]]*Relevante_Stoffströme[[#This Row],[Scope 1 Emissionsfaktor '[kg CO2e/Einheit']]],"")</calculatedColumnFormula>
    </tableColumn>
    <tableColumn id="17" xr3:uid="{11B23FD6-DEA8-4178-9C2E-26E152F6F921}" name="Scope 2 Ergebnis location-based [kg CO2e]" totalsRowFunction="sum" dataDxfId="333" totalsRowDxfId="332">
      <calculatedColumnFormula>IFERROR(Relevante_Stoffströme[[#This Row],[Wert 
(Zahl)]]*Relevante_Stoffströme[[#This Row],[Scope 2 Emissionsfaktor '[kg CO2e/Einheit']]],"")</calculatedColumnFormula>
    </tableColumn>
    <tableColumn id="18" xr3:uid="{C0BB70FD-A98B-4B0D-AB7F-E46A16FA33C6}" name="Scope 3.1 Ergebnis location-based [kg CO2e]" totalsRowFunction="sum" dataDxfId="331" totalsRowDxfId="330">
      <calculatedColumnFormula>IFERROR(Relevante_Stoffströme[[#This Row],[Wert 
(Zahl)]]*Relevante_Stoffströme[[#This Row],[Scope 3.1 Emissionsfaktor '[kg CO2e/Einheit']]],"")</calculatedColumnFormula>
    </tableColumn>
    <tableColumn id="23" xr3:uid="{2D49A2D5-7566-4884-A6D9-D3C45FCAFFEA}" name="Scope 3.5 Ergebnis location-based [kg CO2e]" totalsRowFunction="sum" dataDxfId="329" totalsRowDxfId="328">
      <calculatedColumnFormula>IFERROR(Relevante_Stoffströme[[#This Row],[Wert 
(Zahl)]]*Relevante_Stoffströme[[#This Row],[Scope 3.5 Emissionsfaktor '[kg CO2e/Einheit']]],"")</calculatedColumnFormula>
    </tableColumn>
  </tableColumns>
  <tableStyleInfo name="BilanzPlus"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16E2EEFE-76D7-49D9-BEF4-4AA783BF4747}" name="Medien" displayName="Medien" ref="C46:R67" totalsRowCount="1" headerRowDxfId="327" dataDxfId="326" totalsRowDxfId="325">
  <tableColumns count="16">
    <tableColumn id="20" xr3:uid="{CC50472D-91D4-4F61-9F4B-7F6A70C97073}" name="Sektor_Thema" dataDxfId="324" totalsRowDxfId="323">
      <calculatedColumnFormula>$C$45</calculatedColumnFormula>
    </tableColumn>
    <tableColumn id="3" xr3:uid="{775BE893-0EFD-416B-B428-71DB4B88F5A7}" name="Zuordnung Gliederungselement (Dropdown)" totalsRowLabel="Summe" dataDxfId="322" totalsRowDxfId="321"/>
    <tableColumn id="4" xr3:uid="{EFACC0F6-FA21-45FB-BBD2-ED9174469238}" name="Emissionsquelle/Aktivität (Dropdown)" dataDxfId="320" totalsRowDxfId="319"/>
    <tableColumn id="6" xr3:uid="{8DAAD4E6-860D-4642-9D00-0A4D9654A87A}" name="Wert _x000a_(Zahl)" dataDxfId="318" totalsRowDxfId="317"/>
    <tableColumn id="5" xr3:uid="{4362604D-888D-4B23-91B3-AE8452F2D609}" name="Einheit _x000a_(vorausgefüllt)" dataDxfId="316" totalsRowDxfId="315">
      <calculatedColumnFormula>IFERROR(VLOOKUP(Medien[[#This Row],[Thema_Bezeichung]],Emissionsfaktoren!$C$9:$N$201,4,FALSE),"")</calculatedColumnFormula>
    </tableColumn>
    <tableColumn id="7" xr3:uid="{80795E37-1F2F-4089-89C2-C8D0BE4BB1E3}" name="Datenqualität Wert (Dropdown)" dataDxfId="314" totalsRowDxfId="313"/>
    <tableColumn id="8" xr3:uid="{A72F50DE-3D62-463D-B6BF-FD400DADF942}" name="Notiz - Datenquelle _x000a_(Text)" dataDxfId="312" totalsRowDxfId="311"/>
    <tableColumn id="9" xr3:uid="{3EE3F8B1-9ED2-4D22-A916-DBD04741C131}" name="Notiz - Kommentar _x000a_(Text)" dataDxfId="310" totalsRowDxfId="309"/>
    <tableColumn id="24" xr3:uid="{EEF6C3E4-A50A-4A13-81C3-3A2A48CA0FF6}" name="Ergebnis [kg CO2e] (vorausgefüllt)" totalsRowFunction="sum" dataDxfId="308" totalsRowDxfId="307">
      <calculatedColumnFormula>IF(ISBLANK(Medien[[#This Row],[Wert 
(Zahl)]]),"", SUM(Medien[[#This Row],[Scope 1 Ergebnis location-based '[kg CO2e']]:[Scope 3 Ergebnis location-based '[kg CO2e']]]))</calculatedColumnFormula>
    </tableColumn>
    <tableColumn id="25" xr3:uid="{85C5AD0B-9F84-4E42-814E-92B99C4FB264}" name="Thema_Bezeichung" dataDxfId="306" totalsRowDxfId="305">
      <calculatedColumnFormula>IF(ISBLANK(Medien[[#This Row],[Emissionsquelle/Aktivität (Dropdown)]]),"",CONCATENATE(Medien[[#This Row],[Sektor_Thema]]," - ",Medien[[#This Row],[Emissionsquelle/Aktivität (Dropdown)]]))</calculatedColumnFormula>
    </tableColumn>
    <tableColumn id="10" xr3:uid="{A3F82E95-D122-4B4A-89C2-087284DC19D5}" name="Scope 1 Emissionsfaktor [kg CO2e/Einheit]" dataDxfId="304" totalsRowDxfId="303">
      <calculatedColumnFormula>IFERROR(VLOOKUP(Medien[[#This Row],[Thema_Bezeichung]],EFs_Medien[],5,FALSE),"")</calculatedColumnFormula>
    </tableColumn>
    <tableColumn id="11" xr3:uid="{C49FD710-F7A0-4605-B1CC-39318AE4ED10}" name="Scope 2 Emissionsfaktor [kg CO2e/Einheit]" dataDxfId="302" totalsRowDxfId="301">
      <calculatedColumnFormula>IFERROR(VLOOKUP(Medien[[#This Row],[Thema_Bezeichung]],EFs_Medien[],6,FALSE),"")</calculatedColumnFormula>
    </tableColumn>
    <tableColumn id="12" xr3:uid="{F19E3172-26A3-4D4C-8A7C-9CB3D6415CFE}" name="Scope 3 Emissionsfaktor [kg CO2e/Einheit]" dataDxfId="300" totalsRowDxfId="299">
      <calculatedColumnFormula>IFERROR(VLOOKUP(Medien[[#This Row],[Thema_Bezeichung]],EFs_Medien[],7,FALSE),"")</calculatedColumnFormula>
    </tableColumn>
    <tableColumn id="16" xr3:uid="{2735E123-F6B2-4F6C-B12C-2EB339AFB7AB}" name="Scope 1 Ergebnis location-based [kg CO2e]" totalsRowFunction="sum" dataDxfId="298" totalsRowDxfId="297">
      <calculatedColumnFormula>IFERROR(Medien[[#This Row],[Wert 
(Zahl)]]*Medien[[#This Row],[Scope 1 Emissionsfaktor '[kg CO2e/Einheit']]],"")</calculatedColumnFormula>
    </tableColumn>
    <tableColumn id="17" xr3:uid="{13E39ACD-CE3C-4BE7-AD33-29042EF5C215}" name="Scope 2 Ergebnis location-based [kg CO2e]" totalsRowFunction="sum" dataDxfId="296" totalsRowDxfId="295">
      <calculatedColumnFormula>IFERROR(Medien[[#This Row],[Wert 
(Zahl)]]*Medien[[#This Row],[Scope 2 Emissionsfaktor '[kg CO2e/Einheit']]],"")</calculatedColumnFormula>
    </tableColumn>
    <tableColumn id="18" xr3:uid="{A51C863D-006E-4A67-9758-2D73D12992D6}" name="Scope 3 Ergebnis location-based [kg CO2e]" totalsRowFunction="sum" dataDxfId="294" totalsRowDxfId="293">
      <calculatedColumnFormula>IFERROR(Medien[[#This Row],[Wert 
(Zahl)]]*Medien[[#This Row],[Scope 3 Emissionsfaktor '[kg CO2e/Einheit']]],"")</calculatedColumnFormula>
    </tableColumn>
  </tableColumns>
  <tableStyleInfo name="BilanzPlus"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A5C9F9-143A-4C72-BA39-877545429F0E}" name="Papierverbrauch_Büro" displayName="Papierverbrauch_Büro" ref="C19:F40" totalsRowCount="1" headerRowDxfId="292" dataDxfId="291" totalsRowDxfId="290">
  <tableColumns count="4">
    <tableColumn id="3" xr3:uid="{D6FED258-4994-41DE-96A3-678FCA14CAE9}" name="Zuordnung Gliederungselement (Dropdown)" totalsRowLabel="Summe" dataDxfId="289" totalsRowDxfId="288"/>
    <tableColumn id="6" xr3:uid="{076F30D1-C62F-413F-8D12-5C9C92D4FDE1}" name="Papierverbrauch _x000a_(Anzahl Blatt Papier)" totalsRowFunction="sum" dataDxfId="287" totalsRowDxfId="286"/>
    <tableColumn id="8" xr3:uid="{6279950A-A7C4-485E-841D-CF19B37F7BFB}" name="Notiz - Datenquelle _x000a_(Text)" dataDxfId="285" totalsRowDxfId="284"/>
    <tableColumn id="9" xr3:uid="{E70A5C68-3559-4785-B4B6-7DDFDF978025}" name="Notiz - Kommentar _x000a_(Text)" dataDxfId="283" totalsRowDxfId="282"/>
  </tableColumns>
  <tableStyleInfo name="Beyond Carbon"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4E804D3-AFCC-4742-ADBD-B7B98BE324EB}" name="Druck_und_Werbematerialien" displayName="Druck_und_Werbematerialien" ref="C46:F67" totalsRowCount="1" headerRowDxfId="281" dataDxfId="280" totalsRowDxfId="279">
  <tableColumns count="4">
    <tableColumn id="3" xr3:uid="{AF36FEB5-21B4-43BA-A085-9DB7BBFD40DA}" name="Zuordnung Gliederungselement (Dropdown)" totalsRowLabel="Summe" dataDxfId="278" totalsRowDxfId="277"/>
    <tableColumn id="6" xr3:uid="{C88554F0-2C28-48DD-A601-B784E494C9A3}" name="Druck- und Werbematerialien_x000a_(Kilogramm)" totalsRowFunction="sum" dataDxfId="276" totalsRowDxfId="275"/>
    <tableColumn id="8" xr3:uid="{820DBBBB-D5C9-4E7F-A6E6-1D7200C583A8}" name="Notiz - Datenquelle _x000a_(Text)" dataDxfId="274" totalsRowDxfId="273"/>
    <tableColumn id="9" xr3:uid="{CF101DC5-BC74-4A88-9B01-8505F1F14FFD}" name="Notiz - Kommentar _x000a_(Text)" dataDxfId="272" totalsRowDxfId="271"/>
  </tableColumns>
  <tableStyleInfo name="Beyond Carbon"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4D9A84-AC08-4313-9161-72B58061557C}" name="Verpackungsmaterialien" displayName="Verpackungsmaterialien" ref="C73:F94" totalsRowCount="1" headerRowDxfId="270" dataDxfId="269" totalsRowDxfId="268">
  <tableColumns count="4">
    <tableColumn id="3" xr3:uid="{BB9E511C-F85B-4988-981A-7EBBC31F5052}" name="Zuordnung Gliederungselement (Dropdown)" totalsRowLabel="Summe" dataDxfId="267" totalsRowDxfId="266"/>
    <tableColumn id="6" xr3:uid="{CC833ED1-24F9-45FA-9E5A-8579A8C5A235}" name="Vepackungsmaterialien _x000a_(Kilogramm)" totalsRowFunction="sum" dataDxfId="265" totalsRowDxfId="264"/>
    <tableColumn id="8" xr3:uid="{46E67249-F30C-4DCE-B53D-5E933ED6223B}" name="Notiz - Datenquelle _x000a_(Text)" dataDxfId="263" totalsRowDxfId="262"/>
    <tableColumn id="9" xr3:uid="{2701B6F0-344F-4588-AEFC-923FB44B3116}" name="Notiz - Kommentar _x000a_(Text)" dataDxfId="261" totalsRowDxfId="260"/>
  </tableColumns>
  <tableStyleInfo name="Beyond Carbon"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736D215-D23A-4B47-BF85-90CF1A806476}" name="Wasserverbrauch" displayName="Wasserverbrauch" ref="C100:F121" totalsRowCount="1" headerRowDxfId="259" dataDxfId="258" totalsRowDxfId="257">
  <tableColumns count="4">
    <tableColumn id="3" xr3:uid="{7720DC68-4624-48ED-9F2D-91F2640FC27E}" name="Zuordnung Gliederungselement (Dropdown)" totalsRowLabel="Summe" dataDxfId="256" totalsRowDxfId="255"/>
    <tableColumn id="6" xr3:uid="{59EC6CE7-BA03-4EA3-86C2-28375563EF4A}" name="Wasserverbrauch (m3)" totalsRowFunction="sum" dataDxfId="254" totalsRowDxfId="253"/>
    <tableColumn id="8" xr3:uid="{7AE03AB6-8C3E-48B7-99F9-A707C3A1A66C}" name="Notiz - Datenquelle _x000a_(Text)" dataDxfId="252" totalsRowDxfId="251"/>
    <tableColumn id="9" xr3:uid="{4302CB4C-5188-4876-B800-71098DA90B33}" name="Notiz - Kommentar _x000a_(Text)" dataDxfId="250" totalsRowDxfId="249"/>
  </tableColumns>
  <tableStyleInfo name="Beyond Carbon"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0B35851-F011-44DD-A82F-415ED44CF680}" name="EFs_3135" displayName="EFs_3135" ref="C203:S228" totalsRowShown="0" headerRowDxfId="248" dataDxfId="247">
  <autoFilter ref="C203:S228" xr:uid="{D0B35851-F011-44DD-A82F-415ED44CF680}"/>
  <tableColumns count="17">
    <tableColumn id="13" xr3:uid="{70820B2A-03AB-421F-BAD0-F664790DDC53}" name="Sektor_Thema" dataDxfId="246">
      <calculatedColumnFormula>CONCATENATE(EFs_3135[[#This Row],[Thema]]," - ",EFs_3135[[#This Row],[Bezeichnung]])</calculatedColumnFormula>
    </tableColumn>
    <tableColumn id="1" xr3:uid="{F6D2847D-9175-4457-A983-C12AFCFD53C3}" name="Thema" dataDxfId="245">
      <calculatedColumnFormula>"Relevante_Stoffströme"</calculatedColumnFormula>
    </tableColumn>
    <tableColumn id="3" xr3:uid="{6A6D51A0-1BF5-4A55-B305-FF693DBB808D}" name="Bezeichnung" dataDxfId="244"/>
    <tableColumn id="4" xr3:uid="{D76300D6-85E6-418A-8A81-D1EEC253DCBF}" name="Erfassungseinheit" dataDxfId="243"/>
    <tableColumn id="6" xr3:uid="{FB529586-A8F6-4A18-AA95-D6F04CB2A789}" name="EF Scope 1_x000a_(kg CO2e/Einheit)" dataDxfId="242"/>
    <tableColumn id="7" xr3:uid="{9F63F0CC-DDD6-4490-8D05-FF62EA7E82DB}" name="EF Scope 2_x000a_(kg CO2e/Einheit)" dataDxfId="241"/>
    <tableColumn id="8" xr3:uid="{D4167E66-A618-4E32-88FA-91A177029172}" name="EF Scope 3.1 Einkauf_x000a_(kg CO2e/Einheit)" dataDxfId="240"/>
    <tableColumn id="15" xr3:uid="{81DA52BA-1A63-4812-9FB4-F894232BAFB2}" name="EF Scope 3.5 Abfall_x000a_(kg CO2e/Einheit)" dataDxfId="239"/>
    <tableColumn id="9" xr3:uid="{D285AE36-E106-4294-BC36-B42B27A9BD23}" name="Quelle Scope 1" dataDxfId="238"/>
    <tableColumn id="10" xr3:uid="{C8F958C5-50A6-406D-9A02-F1265CF1F0DD}" name="Quelle Scope 2" dataDxfId="237"/>
    <tableColumn id="11" xr3:uid="{3450DFC7-2498-438A-85B9-CB8AE74D84E3}" name="Quelle Scope 3.1" dataDxfId="236"/>
    <tableColumn id="16" xr3:uid="{6591570F-60A0-4114-9904-E22E31D43B1F}" name="Quelle Scope 3.5" dataDxfId="235"/>
    <tableColumn id="14" xr3:uid="{5733EB42-29C6-4990-B6EF-E9260FBBC165}" name="Kommentar" dataDxfId="234"/>
    <tableColumn id="2" xr3:uid="{D8444408-CD9F-4A6A-84BD-82CFEEC91BD8}" name="Scope 1 Kategorie" dataDxfId="233">
      <calculatedColumnFormula>"-"</calculatedColumnFormula>
    </tableColumn>
    <tableColumn id="5" xr3:uid="{A2CCAC55-DF28-49A6-A8B2-3E6ACC6191C2}" name="Scope 2 Kategorie" dataDxfId="232">
      <calculatedColumnFormula>"-"</calculatedColumnFormula>
    </tableColumn>
    <tableColumn id="17" xr3:uid="{3CB0B126-EDF6-4A10-9418-373C89394454}" name="Scope 3 Kategorie" dataDxfId="231">
      <calculatedColumnFormula>"Kat. 1"</calculatedColumnFormula>
    </tableColumn>
    <tableColumn id="12" xr3:uid="{CD91C930-228B-4288-8DAD-E58A6D0D16AF}" name="Scope 3 Kategorie 2" dataDxfId="230">
      <calculatedColumnFormula>"Kat. 5"</calculatedColumnFormula>
    </tableColumn>
  </tableColumns>
  <tableStyleInfo name="Tabelle KBK"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918B746-29CF-44C1-AD5F-3A3225FD6825}" name="EFs_Wärme" displayName="EFs_Wärme" ref="C8:P25" totalsRowShown="0" headerRowDxfId="229" dataDxfId="228" tableBorderDxfId="227">
  <tableColumns count="14">
    <tableColumn id="16" xr3:uid="{9BB8DD3B-6532-430F-8895-A689457CDB4B}" name="Sektor_Thema" dataDxfId="226">
      <calculatedColumnFormula>CONCATENATE(EFs_Wärme[[#This Row],[Thema]]," - ",EFs_Wärme[[#This Row],[Bezeichnung]])</calculatedColumnFormula>
    </tableColumn>
    <tableColumn id="1" xr3:uid="{F61CDDED-1C77-40E8-AD64-8AFFE32B0638}" name="Thema" dataDxfId="225">
      <calculatedColumnFormula>"Wärme"</calculatedColumnFormula>
    </tableColumn>
    <tableColumn id="2" xr3:uid="{7E5A0CF4-F872-452F-B59A-679A875CBE8E}" name="Bezeichnung" dataDxfId="224"/>
    <tableColumn id="3" xr3:uid="{F330E863-FF4F-437D-BE4F-4F6094FD1578}" name="Erfassungseinheit" dataDxfId="223"/>
    <tableColumn id="4" xr3:uid="{FC67BF86-9494-4A2C-9577-FE2748ADA8E1}" name="EF Scope 1_x000a_(kg CO2e/Einheit)" dataDxfId="222"/>
    <tableColumn id="5" xr3:uid="{738EE3E7-068A-45F1-A9DF-D9269B15DEB0}" name="EF Scope 2_x000a_(kg CO2e/Einheit)" dataDxfId="221"/>
    <tableColumn id="6" xr3:uid="{3D5C1C57-3C65-4FE8-B108-962482238C2F}" name="EF Scope 3_x000a_(kg CO2e/Einheit)" dataDxfId="220"/>
    <tableColumn id="7" xr3:uid="{BBCBAAFD-7847-4246-AE63-3AFBF7CC640A}" name="Quelle Scope 1" dataDxfId="219"/>
    <tableColumn id="8" xr3:uid="{99399A44-9013-4898-942D-4BAA3DC031D0}" name="Quelle Scope 2" dataDxfId="218"/>
    <tableColumn id="9" xr3:uid="{AB9FC0E0-A908-4E39-AFAF-9BEDBF068A1D}" name="Quelle Scope 3" dataDxfId="217"/>
    <tableColumn id="12" xr3:uid="{CBD4FC6D-FFF3-4DB5-93BF-B8F906FEFDE4}" name="Kommentar" dataDxfId="216"/>
    <tableColumn id="13" xr3:uid="{E1854F03-E7B7-47FB-92BE-6D62FB2A696B}" name="Scope 1 Kategorie" dataDxfId="215">
      <calculatedColumnFormula>"Kat. 1"</calculatedColumnFormula>
    </tableColumn>
    <tableColumn id="14" xr3:uid="{5EBA9626-3116-45D0-B102-423D032D6A26}" name="Scope 2 Kategorie" dataDxfId="214">
      <calculatedColumnFormula>"Kat. 2"</calculatedColumnFormula>
    </tableColumn>
    <tableColumn id="15" xr3:uid="{ED71BA70-6099-4697-B66C-2655F25649C6}" name="Scope 3 Kategorie" dataDxfId="213">
      <calculatedColumnFormula>"Kat. 3"</calculatedColumnFormula>
    </tableColumn>
  </tableColumns>
  <tableStyleInfo name="Tabelle KBK"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15099C4-77DE-4206-A1E7-DD2658897510}" name="Wärme" displayName="Wärme" ref="C28:S49" totalsRowCount="1" headerRowDxfId="736" dataDxfId="735" totalsRowDxfId="734">
  <tableColumns count="17">
    <tableColumn id="20" xr3:uid="{CE7D7729-6B7F-49F0-BBF4-42C6FCE7FB19}" name="Sektor_Thema" dataDxfId="733" totalsRowDxfId="732">
      <calculatedColumnFormula>$C$27</calculatedColumnFormula>
    </tableColumn>
    <tableColumn id="3" xr3:uid="{1026BB01-A592-4EA3-BCD4-744E11DB609B}" name="Zuordnung Gliederungselement (Dropdown)" totalsRowLabel="Summe" dataDxfId="731" totalsRowDxfId="730"/>
    <tableColumn id="4" xr3:uid="{A70DACCD-31DC-4926-BB9E-C0570C11EC77}" name="Emissionsquelle/Aktivität (Dropdown)" dataDxfId="729" totalsRowDxfId="728"/>
    <tableColumn id="6" xr3:uid="{AFB8A2FD-9878-4A3D-9506-C3CE84EEB6A7}" name="Wert _x000a_(Zahl)" dataDxfId="727" totalsRowDxfId="726"/>
    <tableColumn id="5" xr3:uid="{6C028A89-5AD0-486F-8814-51305C03C489}" name="Einheit _x000a_(vorausgefüllt)" dataDxfId="725" totalsRowDxfId="724">
      <calculatedColumnFormula>IFERROR(VLOOKUP(Wärme[[#This Row],[Thema_Bezeichung]],EFs_Wärme[],4,FALSE),"")</calculatedColumnFormula>
    </tableColumn>
    <tableColumn id="7" xr3:uid="{4073937B-692F-4120-B91B-44098B048676}" name="Datenqualität Wert (Dropdown)" dataDxfId="723" totalsRowDxfId="722"/>
    <tableColumn id="24" xr3:uid="{D503EA05-79F9-4AEC-9C34-E122D8E37FFD}" name="Fernwärme Eigenfaktor Scope 2_x000a_[kg CO2e/kWh]_x000a_(falls zutreffend)" dataDxfId="721" totalsRowDxfId="720"/>
    <tableColumn id="8" xr3:uid="{B8F797DB-0AA4-490B-A987-FB6D3618A183}" name="Notiz - Datenquelle _x000a_(Text)" dataDxfId="719" totalsRowDxfId="718"/>
    <tableColumn id="9" xr3:uid="{FAC83A87-0AD9-429E-8C29-BD6B522E63F1}" name="Notiz - Kommentar _x000a_(Text)" dataDxfId="717" totalsRowDxfId="716"/>
    <tableColumn id="26" xr3:uid="{71D92DF3-36F0-456C-A87E-E5F890B22EB4}" name="Ergebnis [kg CO2e] (vorausgefüllt)" totalsRowFunction="sum" dataDxfId="715" totalsRowDxfId="714">
      <calculatedColumnFormula>IF(ISBLANK(Wärme[[#This Row],[Wert 
(Zahl)]]),"", SUM(Wärme[[#This Row],[Scope 1 Ergebnis location-based '[kg CO2e']]:[Scope 3 Ergebnis location-based '[kg CO2e']]]))</calculatedColumnFormula>
    </tableColumn>
    <tableColumn id="1" xr3:uid="{41A26C85-9345-4FC0-8996-D0CD14CB1358}" name="Thema_Bezeichung" dataDxfId="713" totalsRowDxfId="712">
      <calculatedColumnFormula>IF(ISBLANK(Wärme[[#This Row],[Emissionsquelle/Aktivität (Dropdown)]]),"",CONCATENATE(Wärme[[#This Row],[Sektor_Thema]]," - ",Wärme[[#This Row],[Emissionsquelle/Aktivität (Dropdown)]]))</calculatedColumnFormula>
    </tableColumn>
    <tableColumn id="10" xr3:uid="{13A57235-567B-42DA-AFC0-93346048285B}" name="Scope 1 Emissionsfaktor [kg CO2e/Einheit]" dataDxfId="711" totalsRowDxfId="710">
      <calculatedColumnFormula>IFERROR(VLOOKUP(Wärme[[#This Row],[Thema_Bezeichung]],EFs_Wärme[],5,FALSE),"")</calculatedColumnFormula>
    </tableColumn>
    <tableColumn id="11" xr3:uid="{1D074052-E264-473F-840A-06439C0AD81B}" name="Scope 2 Emissionsfaktor [kg CO2e/Einheit]" dataDxfId="709" totalsRowDxfId="708">
      <calculatedColumnFormula>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calculatedColumnFormula>
    </tableColumn>
    <tableColumn id="12" xr3:uid="{4DA27AAC-2118-41D7-9029-8CCC88EF2822}" name="Scope 3 Emissionsfaktor [kg CO2e/Einheit]" dataDxfId="707" totalsRowDxfId="706">
      <calculatedColumnFormula>IFERROR(VLOOKUP(Wärme[[#This Row],[Thema_Bezeichung]],EFs_Wärme[],7,FALSE),"")</calculatedColumnFormula>
    </tableColumn>
    <tableColumn id="16" xr3:uid="{591BFF1F-39BB-452A-AD1B-68856D56D49A}" name="Scope 1 Ergebnis location-based [kg CO2e]" totalsRowFunction="sum" dataDxfId="705" totalsRowDxfId="704">
      <calculatedColumnFormula>IFERROR(Wärme[[#This Row],[Wert 
(Zahl)]]*Wärme[[#This Row],[Scope 1 Emissionsfaktor '[kg CO2e/Einheit']]],"")</calculatedColumnFormula>
    </tableColumn>
    <tableColumn id="17" xr3:uid="{694D2F41-4308-4748-8911-8B869109CB1C}" name="Scope 2 Ergebnis location-based [kg CO2e]" totalsRowFunction="sum" dataDxfId="703" totalsRowDxfId="702">
      <calculatedColumnFormula>IFERROR(Wärme[[#This Row],[Wert 
(Zahl)]]*Wärme[[#This Row],[Scope 2 Emissionsfaktor '[kg CO2e/Einheit']]],"")</calculatedColumnFormula>
    </tableColumn>
    <tableColumn id="18" xr3:uid="{675E1099-D02B-4179-863F-9E920A0907E5}" name="Scope 3 Ergebnis location-based [kg CO2e]" totalsRowFunction="sum" dataDxfId="701" totalsRowDxfId="700">
      <calculatedColumnFormula>IFERROR(Wärme[[#This Row],[Wert 
(Zahl)]]*Wärme[[#This Row],[Scope 3 Emissionsfaktor '[kg CO2e/Einheit']]],"")</calculatedColumnFormula>
    </tableColumn>
  </tableColumns>
  <tableStyleInfo name="Tabelle KBK"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DC91952-E568-48B8-A4FC-CE7798F34CC7}" name="EFs_Strom" displayName="EFs_Strom" ref="C27:R35" totalsRowShown="0" headerRowDxfId="212" dataDxfId="211" tableBorderDxfId="210">
  <tableColumns count="16">
    <tableColumn id="16" xr3:uid="{8202FB41-E025-486C-BE48-7F77BE7D6DDA}" name="Sektor_Thema" dataDxfId="209">
      <calculatedColumnFormula>CONCATENATE(EFs_Strom[[#This Row],[Thema]]," - ",EFs_Strom[[#This Row],[Bezeichnung]])</calculatedColumnFormula>
    </tableColumn>
    <tableColumn id="1" xr3:uid="{938C7282-7A53-4C74-9B55-170589F8CCB5}" name="Thema" dataDxfId="208">
      <calculatedColumnFormula>"Strom"</calculatedColumnFormula>
    </tableColumn>
    <tableColumn id="2" xr3:uid="{1F0F629F-7E42-4874-A77C-B878ACF9BA64}" name="Bezeichnung" dataDxfId="207"/>
    <tableColumn id="3" xr3:uid="{B7864BEB-72BF-4219-A268-D53C07EB8E2B}" name="Erfassungseinheit" dataDxfId="206"/>
    <tableColumn id="4" xr3:uid="{0128AF7F-BBFD-433A-B89D-49A18F83B70E}" name="EF Scope 1_x000a_(kg CO2e/Einheit)" dataDxfId="205"/>
    <tableColumn id="5" xr3:uid="{97DF303A-6B01-4731-8774-D1A476E8B32C}" name="EF Scope 2_x000a_(kg CO2e/Einheit)" dataDxfId="204"/>
    <tableColumn id="6" xr3:uid="{2A38594A-E09A-44EA-BA9A-395D86479287}" name="EF Scope 3_x000a_(kg CO2e/Einheit)" dataDxfId="203"/>
    <tableColumn id="7" xr3:uid="{1B4B61AA-D267-4778-BAF5-44C3A7827609}" name="Quelle Scope 1" dataDxfId="202"/>
    <tableColumn id="8" xr3:uid="{FA7DA297-336C-4BAE-9E33-174E13F067EC}" name="Quelle Scope 2" dataDxfId="201"/>
    <tableColumn id="9" xr3:uid="{E933013B-B7E3-469F-BC50-FBE902DB4755}" name="Quelle Scope 3" dataDxfId="200"/>
    <tableColumn id="10" xr3:uid="{A904AC90-BAC4-4E2B-8D9A-CD275DFEC507}" name="Vermeidungsfaktor (kg CO2e/Einheit)" dataDxfId="199"/>
    <tableColumn id="11" xr3:uid="{FD27AAFA-969A-4C9F-919B-0DC65B58F5B5}" name="Quelle  Vermeidungsfaktor" dataDxfId="198"/>
    <tableColumn id="12" xr3:uid="{C9BD3D9C-5786-4038-9D23-C5AF37125A73}" name="Kommentar" dataDxfId="197"/>
    <tableColumn id="13" xr3:uid="{69F1146B-7387-47EA-BB8F-9F8A5DAA1C50}" name="Scope 1 Kategorie" dataDxfId="196">
      <calculatedColumnFormula>"Kat. 1"</calculatedColumnFormula>
    </tableColumn>
    <tableColumn id="14" xr3:uid="{B072CCE1-2836-46A0-8A3E-33D22F568117}" name="Scope 2 Kategorie" dataDxfId="195">
      <calculatedColumnFormula>"Kat. 1"</calculatedColumnFormula>
    </tableColumn>
    <tableColumn id="15" xr3:uid="{39907C5A-5635-4B36-9DE2-9AE993767D9B}" name="Scope 3 Kategorie" dataDxfId="194">
      <calculatedColumnFormula>"Kat. 3"</calculatedColumnFormula>
    </tableColumn>
  </tableColumns>
  <tableStyleInfo name="Tabelle KBK"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B876587-602E-4D89-BB5B-E6C1B35CD725}" name="EFs_Fuhrpark" displayName="EFs_Fuhrpark" ref="C88:P98" totalsRowShown="0" headerRowDxfId="193" dataDxfId="192" tableBorderDxfId="191">
  <tableColumns count="14">
    <tableColumn id="16" xr3:uid="{632B60E5-5BA8-491D-A7EA-EBF05208393B}" name="Sektor_Thema" dataDxfId="190">
      <calculatedColumnFormula>CONCATENATE(EFs_Fuhrpark[[#This Row],[Thema]]," - ",EFs_Fuhrpark[[#This Row],[Bezeichnung]])</calculatedColumnFormula>
    </tableColumn>
    <tableColumn id="1" xr3:uid="{8DAF0948-F285-444D-B1A3-6563324711CF}" name="Thema" dataDxfId="189">
      <calculatedColumnFormula>"Fuhrpark"</calculatedColumnFormula>
    </tableColumn>
    <tableColumn id="2" xr3:uid="{5C31F19E-0194-46AF-B1F9-3D6D06AC8124}" name="Bezeichnung" dataDxfId="188"/>
    <tableColumn id="3" xr3:uid="{A757038C-50EA-42FE-AC0F-CDD00277A856}" name="Erfassungseinheit" dataDxfId="187"/>
    <tableColumn id="4" xr3:uid="{D3F0D32D-8FB7-4D6D-AAB2-76C49855E241}" name="EF Scope 1_x000a_(kg CO2e/Einheit)" dataDxfId="186"/>
    <tableColumn id="5" xr3:uid="{2791B16C-8533-429D-988E-D76C759CB499}" name="EF Scope 2_x000a_(kg CO2e/Einheit)" dataDxfId="185"/>
    <tableColumn id="6" xr3:uid="{58FC9860-891B-4C29-8E1D-701147112B6C}" name="EF Scope 3_x000a_(kg CO2e/Einheit)" dataDxfId="184"/>
    <tableColumn id="7" xr3:uid="{55AA4B29-4655-4593-BAF8-047790316B4E}" name="Quelle Scope 1" dataDxfId="183"/>
    <tableColumn id="8" xr3:uid="{1750CC51-D51A-4804-BE58-C3AE97AA9ECE}" name="Quelle Scope 2" dataDxfId="182"/>
    <tableColumn id="9" xr3:uid="{E6C7AA0C-D719-4524-AF9A-A24D34F6B19A}" name="Quelle Scope 3" dataDxfId="181"/>
    <tableColumn id="12" xr3:uid="{AC3B2C02-BD25-4539-B7E0-4B2AD19A96E9}" name="Kommentar" dataDxfId="180"/>
    <tableColumn id="13" xr3:uid="{68DCC8F5-0C65-4B86-ABE0-B06DB9A65D16}" name="Scope 1 Kategorie" dataDxfId="179">
      <calculatedColumnFormula>"Kat. 2"</calculatedColumnFormula>
    </tableColumn>
    <tableColumn id="14" xr3:uid="{269CAA8E-D2AB-406F-BEA1-7EABFB50D978}" name="Scope 2 Kategorie" dataDxfId="178">
      <calculatedColumnFormula>"Kat. 1"</calculatedColumnFormula>
    </tableColumn>
    <tableColumn id="15" xr3:uid="{55BF1366-D879-41B3-9F6B-24AD93B18F4D}" name="Scope 3 Kategorie" dataDxfId="177">
      <calculatedColumnFormula>"Kat. 3"</calculatedColumnFormula>
    </tableColumn>
  </tableColumns>
  <tableStyleInfo name="Tabelle KBK"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71C7C1A-31D7-431B-AE3F-BA76CA0AFC3D}" name="EFs_Kühlmittel" displayName="EFs_Kühlmittel" ref="C37:P86" totalsRowShown="0" headerRowDxfId="176" dataDxfId="175" tableBorderDxfId="174">
  <tableColumns count="14">
    <tableColumn id="16" xr3:uid="{6D1497EA-A486-4D42-8711-F75AE64A62E0}" name="Sektor_Thema" dataDxfId="173">
      <calculatedColumnFormula>CONCATENATE(EFs_Kühlmittel[[#This Row],[Thema]]," - ",EFs_Kühlmittel[[#This Row],[Bezeichnung]])</calculatedColumnFormula>
    </tableColumn>
    <tableColumn id="1" xr3:uid="{57624E52-EFD4-44E7-8F57-B1CCAD3A16DC}" name="Thema" dataDxfId="172">
      <calculatedColumnFormula>"Kühl_und_Kältemittel"</calculatedColumnFormula>
    </tableColumn>
    <tableColumn id="2" xr3:uid="{3A70A1AA-BB1F-4727-A51F-5563BBFA1A4D}" name="Bezeichnung" dataDxfId="171"/>
    <tableColumn id="3" xr3:uid="{9B482256-EF88-4023-BE1B-9C61F1A29E51}" name="Erfassungseinheit" dataDxfId="170"/>
    <tableColumn id="4" xr3:uid="{11C5EF85-BD27-4170-8A5E-769527DEEEA1}" name="EF Scope 1_x000a_(kg CO2e/Einheit)" dataDxfId="169"/>
    <tableColumn id="5" xr3:uid="{F22D2E49-4961-45F9-A7E1-AF91B00187CD}" name="EF Scope 2_x000a_(kg CO2e/Einheit)" dataDxfId="168"/>
    <tableColumn id="6" xr3:uid="{CBB29DD2-169D-4F5C-924C-056039DDEA54}" name="EF Scope 3_x000a_(kg CO2e/Einheit)" dataDxfId="167"/>
    <tableColumn id="7" xr3:uid="{10DB40DE-622F-424B-B824-908E99F04967}" name="Quelle Scope 1" dataDxfId="166"/>
    <tableColumn id="8" xr3:uid="{18DC24AB-6380-4F82-94AA-25FB834C97F3}" name="Quelle Scope 2" dataDxfId="165"/>
    <tableColumn id="9" xr3:uid="{3337A478-BBB7-449E-AF68-9ACE01204D4F}" name="Quelle Scope 3" dataDxfId="164"/>
    <tableColumn id="12" xr3:uid="{52CCCB37-DFAE-4055-8270-A68463B0F9CA}" name="Kommentar" dataDxfId="163"/>
    <tableColumn id="13" xr3:uid="{B3F29540-5B75-4FC2-A947-B22DCF210AB3}" name="Scope 1 Kategorie" dataDxfId="162">
      <calculatedColumnFormula>"Kat. 4"</calculatedColumnFormula>
    </tableColumn>
    <tableColumn id="14" xr3:uid="{90AD480F-2BC3-45F1-9FD2-8B751B52D8BB}" name="Scope 2 Kategorie" dataDxfId="161">
      <calculatedColumnFormula>"-"</calculatedColumnFormula>
    </tableColumn>
    <tableColumn id="15" xr3:uid="{999A9A92-6CFB-427A-B718-428FF76B59B0}" name="Scope 3 Kategorie" dataDxfId="160">
      <calculatedColumnFormula>"-"</calculatedColumnFormula>
    </tableColumn>
  </tableColumns>
  <tableStyleInfo name="Tabelle KBK"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BB19794-242A-4D20-B4F7-6714B4A4EAA5}" name="EFs_Geschäftsreisen" displayName="EFs_Geschäftsreisen" ref="C100:P115" totalsRowShown="0" headerRowDxfId="159" dataDxfId="158" tableBorderDxfId="157">
  <tableColumns count="14">
    <tableColumn id="16" xr3:uid="{50989BD7-0F16-4723-A24E-CC706F495C6B}" name="Sektor_Thema" dataDxfId="156">
      <calculatedColumnFormula>CONCATENATE(EFs_Geschäftsreisen[[#This Row],[Thema]]," - ",EFs_Geschäftsreisen[[#This Row],[Bezeichnung]])</calculatedColumnFormula>
    </tableColumn>
    <tableColumn id="1" xr3:uid="{9CD87194-0AC2-4073-A702-321AE0D3507E}" name="Thema" dataDxfId="155">
      <calculatedColumnFormula>"Geschäftsreisen"</calculatedColumnFormula>
    </tableColumn>
    <tableColumn id="2" xr3:uid="{F78C0E1E-99E8-428D-BC9F-EC27B6B80AD1}" name="Bezeichnung" dataDxfId="154"/>
    <tableColumn id="3" xr3:uid="{F5CC90C4-143C-43CE-A3BB-2C232D9C9801}" name="Erfassungseinheit" dataDxfId="153"/>
    <tableColumn id="4" xr3:uid="{320164D5-B819-447F-B642-D3BD114AE050}" name="EF Scope 1_x000a_(kg CO2e/Einheit)" dataDxfId="152"/>
    <tableColumn id="5" xr3:uid="{BBDBE094-FB50-46B2-B026-AC387AD2297F}" name="EF Scope 2_x000a_(kg CO2e/Einheit)" dataDxfId="151"/>
    <tableColumn id="6" xr3:uid="{775AE2C2-6F23-4F2D-8148-A6F7FD411EDB}" name="EF Scope 3_x000a_(kg CO2e/Einheit)" dataDxfId="150"/>
    <tableColumn id="7" xr3:uid="{28C5B583-31E6-4B0C-A302-E99D29326399}" name="Quelle Scope 1" dataDxfId="149"/>
    <tableColumn id="8" xr3:uid="{F6732FEC-8C99-4120-8C75-4A2D968510FA}" name="Quelle Scope 2" dataDxfId="148"/>
    <tableColumn id="9" xr3:uid="{971E1AAE-E8B0-49F9-9C82-A0994FAA6F36}" name="Quelle Scope 3" dataDxfId="147"/>
    <tableColumn id="12" xr3:uid="{38E56AE4-225D-4973-8866-4A0102E5A919}" name="Kommentar" dataDxfId="146"/>
    <tableColumn id="13" xr3:uid="{A9B739D0-5193-4B7F-9A53-8598DDDFDB62}" name="Scope 1 Kategorie" dataDxfId="145">
      <calculatedColumnFormula>"-"</calculatedColumnFormula>
    </tableColumn>
    <tableColumn id="14" xr3:uid="{14FD9C4A-BD66-47AD-B156-9DE52C04559F}" name="Scope 2 Kategorie" dataDxfId="144">
      <calculatedColumnFormula>"-"</calculatedColumnFormula>
    </tableColumn>
    <tableColumn id="15" xr3:uid="{C3169A10-644A-45F8-8CCD-B293E1543195}" name="Scope 3 Kategorie" dataDxfId="143">
      <calculatedColumnFormula>"Kat. 6"</calculatedColumnFormula>
    </tableColumn>
  </tableColumns>
  <tableStyleInfo name="Tabelle KBK"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A8F5458-04FB-46E7-A43A-1D6398101869}" name="EFs_Pendeln" displayName="EFs_Pendeln" ref="C117:P127" totalsRowShown="0" headerRowDxfId="142" dataDxfId="141" tableBorderDxfId="140">
  <tableColumns count="14">
    <tableColumn id="16" xr3:uid="{202A35CC-524B-4552-BE2F-A10AC27C4B26}" name="Sektor_Thema" dataDxfId="139">
      <calculatedColumnFormula>CONCATENATE(EFs_Pendeln[[#This Row],[Thema]]," - ",EFs_Pendeln[[#This Row],[Bezeichnung]])</calculatedColumnFormula>
    </tableColumn>
    <tableColumn id="1" xr3:uid="{953424E6-AACD-4A7C-9EC8-B875F74D5844}" name="Thema" dataDxfId="138">
      <calculatedColumnFormula>"Pendeln_Mitarbeitende"</calculatedColumnFormula>
    </tableColumn>
    <tableColumn id="2" xr3:uid="{0E767B84-E0E0-4D13-8A3C-4FBCFBADB7BA}" name="Bezeichnung" dataDxfId="137"/>
    <tableColumn id="3" xr3:uid="{0DD2F961-5BDB-451D-BEBC-D829E3F43328}" name="Erfassungseinheit" dataDxfId="136"/>
    <tableColumn id="4" xr3:uid="{1518E237-4993-483B-878C-D52C3ED074E9}" name="EF Scope 1_x000a_(kg CO2e/Einheit)" dataDxfId="135"/>
    <tableColumn id="5" xr3:uid="{9C3A36CF-7FDB-4FEE-9963-435BF20ADD16}" name="EF Scope 2_x000a_(kg CO2e/Einheit)" dataDxfId="134"/>
    <tableColumn id="6" xr3:uid="{5E644400-C2CC-4613-BB09-9D9ED1E0FFCD}" name="EF Scope 3_x000a_(kg CO2e/Einheit)" dataDxfId="133"/>
    <tableColumn id="7" xr3:uid="{6296E15E-C4CC-4F21-92D8-1AFB8445D763}" name="Quelle Scope 1" dataDxfId="132"/>
    <tableColumn id="8" xr3:uid="{08476E6A-26E4-452E-B7AE-569B148CAA5B}" name="Quelle Scope 2" dataDxfId="131"/>
    <tableColumn id="9" xr3:uid="{1926F480-58C8-494E-8957-EA4A4AD9F006}" name="Quelle Scope 3" dataDxfId="130"/>
    <tableColumn id="12" xr3:uid="{7857205E-4672-4929-8BB4-8C0C17629793}" name="Kommentar" dataDxfId="129"/>
    <tableColumn id="13" xr3:uid="{5A9CA2FD-0490-471C-9BD7-5DA06B291075}" name="Scope 1 Kategorie" dataDxfId="128">
      <calculatedColumnFormula>"-"</calculatedColumnFormula>
    </tableColumn>
    <tableColumn id="14" xr3:uid="{940832D2-885A-483E-8BB6-C2921488FAA0}" name="Scope 2 Kategorie" dataDxfId="127">
      <calculatedColumnFormula>"-"</calculatedColumnFormula>
    </tableColumn>
    <tableColumn id="15" xr3:uid="{4355712C-E714-4FDE-AEC4-F235A12D17E0}" name="Scope 3 Kategorie" dataDxfId="126">
      <calculatedColumnFormula>"Kat. 7"</calculatedColumnFormula>
    </tableColumn>
  </tableColumns>
  <tableStyleInfo name="Tabelle KBK"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44D6FD5-22D5-4F9E-8B05-91BC711384A0}" name="EFs_Externe" displayName="EFs_Externe" ref="C129:P142" totalsRowShown="0" headerRowDxfId="125" dataDxfId="124" tableBorderDxfId="123">
  <tableColumns count="14">
    <tableColumn id="16" xr3:uid="{CA88900F-CF68-4D2C-AB0C-8EEF3E7D233E}" name="Sektor_Thema" dataDxfId="122">
      <calculatedColumnFormula>CONCATENATE(EFs_Externe[[#This Row],[Thema]]," - ",EFs_Externe[[#This Row],[Bezeichnung]])</calculatedColumnFormula>
    </tableColumn>
    <tableColumn id="1" xr3:uid="{2384F61D-A3A1-435E-B3E0-BFAB1CCC7A58}" name="Thema" dataDxfId="121">
      <calculatedColumnFormula>"Externe"</calculatedColumnFormula>
    </tableColumn>
    <tableColumn id="2" xr3:uid="{C3CBD152-5AA5-404E-8040-7F3203092655}" name="Bezeichnung" dataDxfId="120"/>
    <tableColumn id="3" xr3:uid="{39C01820-D057-49B9-9C1F-675245A77594}" name="Erfassungseinheit" dataDxfId="119"/>
    <tableColumn id="4" xr3:uid="{D7635F74-3B12-41AB-AE67-942D0D290E32}" name="EF Scope 1_x000a_(kg CO2e/Einheit)" dataDxfId="118"/>
    <tableColumn id="5" xr3:uid="{C5978947-B194-4D9C-8BC7-717438DF0B34}" name="EF Scope 2_x000a_(kg CO2e/Einheit)" dataDxfId="117"/>
    <tableColumn id="6" xr3:uid="{FBEE5960-EF0E-4E85-8277-F2F6F3704C00}" name="EF Scope 3_x000a_(kg CO2e/Einheit)" dataDxfId="116"/>
    <tableColumn id="7" xr3:uid="{EADE86F3-8BF1-4164-8B49-56CBDFB2A259}" name="Quelle Scope 1" dataDxfId="115"/>
    <tableColumn id="8" xr3:uid="{C47BEC31-CC83-4C4A-8433-F901D6E18F36}" name="Quelle Scope 2" dataDxfId="114"/>
    <tableColumn id="9" xr3:uid="{13769F34-D214-4348-A44F-3F29AC28598A}" name="Quelle Scope 3" dataDxfId="113"/>
    <tableColumn id="12" xr3:uid="{8DE4D14C-FCCC-4B1F-B31A-91723B5382ED}" name="Kommentar" dataDxfId="112"/>
    <tableColumn id="13" xr3:uid="{A332F4CC-A2F4-41F6-B2BB-AF90FFDBA18F}" name="Scope 1 Kategorie" dataDxfId="111">
      <calculatedColumnFormula>"-"</calculatedColumnFormula>
    </tableColumn>
    <tableColumn id="14" xr3:uid="{BCD06962-AAD7-41FE-B226-04F4E68CEE00}" name="Scope 2 Kategorie" dataDxfId="110">
      <calculatedColumnFormula>"-"</calculatedColumnFormula>
    </tableColumn>
    <tableColumn id="15" xr3:uid="{ED0684EB-E29F-4682-A485-98DBA58111F5}" name="Scope 3 Kategorie" dataDxfId="109">
      <calculatedColumnFormula>"Kat. 1"</calculatedColumnFormula>
    </tableColumn>
  </tableColumns>
  <tableStyleInfo name="Tabelle KBK"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40A8518-9309-4801-9733-E6718054E6A4}" name="EFs_Warentransporte" displayName="EFs_Warentransporte" ref="C144:P163" totalsRowShown="0" headerRowDxfId="108" dataDxfId="107" tableBorderDxfId="106">
  <tableColumns count="14">
    <tableColumn id="16" xr3:uid="{22E0887E-2A24-4F29-945D-1821175B6C8A}" name="Sektor_Thema" dataDxfId="105">
      <calculatedColumnFormula>CONCATENATE(EFs_Warentransporte[[#This Row],[Thema]]," - ",EFs_Warentransporte[[#This Row],[Bezeichnung]])</calculatedColumnFormula>
    </tableColumn>
    <tableColumn id="1" xr3:uid="{AE27AB49-1CA2-4994-BF1C-9172A4B2BC8A}" name="Thema" dataDxfId="104">
      <calculatedColumnFormula>"Warentransporte"</calculatedColumnFormula>
    </tableColumn>
    <tableColumn id="2" xr3:uid="{DAAC08CE-824E-4BB5-A5B1-E1FB4183A548}" name="Bezeichnung" dataDxfId="103"/>
    <tableColumn id="3" xr3:uid="{0C0938B5-F999-4A1D-892D-3A3F21AB1969}" name="Erfassungseinheit" dataDxfId="102"/>
    <tableColumn id="4" xr3:uid="{2B25E605-7946-4AB4-8D11-94E71C488337}" name="EF Scope 1_x000a_(kg CO2e/Einheit)" dataDxfId="101"/>
    <tableColumn id="5" xr3:uid="{1296FC0A-3360-48F1-874E-173AA8AAA13B}" name="EF Scope 2_x000a_(kg CO2e/Einheit)" dataDxfId="100"/>
    <tableColumn id="6" xr3:uid="{90DE7AD5-A633-44D1-B6B8-74BD0DEC9E5D}" name="EF Scope 3_x000a_(kg CO2e/Einheit)" dataDxfId="99"/>
    <tableColumn id="7" xr3:uid="{68B812AB-F53A-4882-9702-147CC1260944}" name="Quelle Scope 1" dataDxfId="98"/>
    <tableColumn id="8" xr3:uid="{C9DE3311-2A27-4266-9489-2F382CEBA947}" name="Quelle Scope 2" dataDxfId="97"/>
    <tableColumn id="9" xr3:uid="{7BC56EB0-2FF8-4C81-8007-87D134EF350B}" name="Quelle Scope 3" dataDxfId="96"/>
    <tableColumn id="12" xr3:uid="{1DCCA4F3-157F-4667-8EE2-C697195D0A7E}" name="Kommentar" dataDxfId="95"/>
    <tableColumn id="13" xr3:uid="{2F3D524C-141F-4C83-85C4-CB79EB85F9BD}" name="Scope 1 Kategorie" dataDxfId="94">
      <calculatedColumnFormula>"-"</calculatedColumnFormula>
    </tableColumn>
    <tableColumn id="14" xr3:uid="{6B21996D-2E19-464E-A901-C3C42E2F9F2E}" name="Scope 2 Kategorie" dataDxfId="93">
      <calculatedColumnFormula>"-"</calculatedColumnFormula>
    </tableColumn>
    <tableColumn id="15" xr3:uid="{DFE26B12-3F99-40AC-9028-67E567A36082}" name="Scope 3 Kategorie" dataDxfId="92">
      <calculatedColumnFormula>"Kat. 4"</calculatedColumnFormula>
    </tableColumn>
  </tableColumns>
  <tableStyleInfo name="Tabelle KBK"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3AF82B4-E032-4B44-8C2A-967182EDC102}" name="EFs_Besuchende" displayName="EFs_Besuchende" ref="C178:P191" totalsRowShown="0" headerRowDxfId="91" dataDxfId="90" tableBorderDxfId="89">
  <tableColumns count="14">
    <tableColumn id="16" xr3:uid="{0005A6E0-74BE-447A-8397-FC50BDEEAAA9}" name="Sektor_Thema" dataDxfId="88">
      <calculatedColumnFormula>CONCATENATE(EFs_Besuchende[[#This Row],[Thema]]," - ",EFs_Besuchende[[#This Row],[Bezeichnung]])</calculatedColumnFormula>
    </tableColumn>
    <tableColumn id="1" xr3:uid="{18154D6B-8257-434D-918F-F714123EF17C}" name="Thema" dataDxfId="87">
      <calculatedColumnFormula>"Anreise_Besuchende"</calculatedColumnFormula>
    </tableColumn>
    <tableColumn id="2" xr3:uid="{D2B7F6E4-2AD7-4032-AC01-49819555F190}" name="Bezeichnung" dataDxfId="86"/>
    <tableColumn id="3" xr3:uid="{A49ADCDE-A7F1-4CC2-9C50-6F6D5DCBFB2E}" name="Erfassungseinheit" dataDxfId="85"/>
    <tableColumn id="4" xr3:uid="{8ACBB942-19BF-4481-8963-DFDB894E4A98}" name="EF Scope 1_x000a_(kg CO2e/Einheit)" dataDxfId="84"/>
    <tableColumn id="5" xr3:uid="{B9C1577D-2B21-40DC-BAAE-DD5E988AC29F}" name="EF Scope 2_x000a_(kg CO2e/Einheit)" dataDxfId="83"/>
    <tableColumn id="6" xr3:uid="{DB559EE7-ECEA-4A80-89DD-6141713C70DD}" name="EF Scope 3_x000a_(kg CO2e/Einheit)" dataDxfId="82"/>
    <tableColumn id="7" xr3:uid="{3FD0D9C9-B6AE-46F9-AB51-CB481AA85214}" name="Quelle Scope 1" dataDxfId="81"/>
    <tableColumn id="8" xr3:uid="{E1754CF9-9A99-4523-B9EA-164AC56E6626}" name="Quelle Scope 2" dataDxfId="80"/>
    <tableColumn id="9" xr3:uid="{F345B3E5-738A-4A65-AC2A-1841F0C90796}" name="Quelle Scope 3" dataDxfId="79"/>
    <tableColumn id="12" xr3:uid="{ED4FD84B-45E3-4FF4-A688-6B9BA87443CD}" name="Kommentar" dataDxfId="78"/>
    <tableColumn id="13" xr3:uid="{52B8ABC9-EB95-4520-B623-4C5B4070A5EC}" name="Scope 1 Kategorie" dataDxfId="77">
      <calculatedColumnFormula>"-"</calculatedColumnFormula>
    </tableColumn>
    <tableColumn id="14" xr3:uid="{B7DBD8CD-2DF4-4E69-8969-F95E2AAD728F}" name="Scope 2 Kategorie" dataDxfId="76">
      <calculatedColumnFormula>"-"</calculatedColumnFormula>
    </tableColumn>
    <tableColumn id="15" xr3:uid="{9E9DD8C1-D7E4-4AB6-9245-4DA2D6EAB10F}" name="Scope 3 Kategorie" dataDxfId="75">
      <calculatedColumnFormula>"Kat. 9"</calculatedColumnFormula>
    </tableColumn>
  </tableColumns>
  <tableStyleInfo name="Tabelle KBK"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5C39CEE-BE06-412B-BB3A-299B3F03F904}" name="EFs_Medien" displayName="EFs_Medien" ref="C165:P176" totalsRowShown="0" headerRowDxfId="74" dataDxfId="73" tableBorderDxfId="72">
  <tableColumns count="14">
    <tableColumn id="16" xr3:uid="{114DE6A3-352D-4889-BBC2-DE0A09235D11}" name="Sektor_Thema" dataDxfId="71">
      <calculatedColumnFormula>CONCATENATE(EFs_Medien[[#This Row],[Thema]]," - ",EFs_Medien[[#This Row],[Bezeichnung]])</calculatedColumnFormula>
    </tableColumn>
    <tableColumn id="1" xr3:uid="{ACB8ABBC-1EA2-4D63-B53F-5B65CCD29662}" name="Thema" dataDxfId="70">
      <calculatedColumnFormula>"Medien"</calculatedColumnFormula>
    </tableColumn>
    <tableColumn id="2" xr3:uid="{B3E7052D-6272-46F7-9A1F-5AC9AF459C19}" name="Bezeichnung" dataDxfId="69"/>
    <tableColumn id="3" xr3:uid="{8C895176-4CFF-45A8-9B40-AE54885B6F5D}" name="Erfassungseinheit" dataDxfId="68"/>
    <tableColumn id="4" xr3:uid="{F1F4D783-0D15-4D85-9908-50AFF0D23680}" name="EF Scope 1_x000a_(kg CO2e/Einheit)" dataDxfId="67"/>
    <tableColumn id="5" xr3:uid="{ADAA9666-3052-4A65-8FBA-AEEF9ED9270F}" name="EF Scope 2_x000a_(kg CO2e/Einheit)" dataDxfId="66"/>
    <tableColumn id="6" xr3:uid="{3C46A890-1F92-4748-9487-0A7F9D2E7A02}" name="EF Scope 3_x000a_(kg CO2e/Einheit)" dataDxfId="65"/>
    <tableColumn id="7" xr3:uid="{714BCF2A-46EC-4CBF-9A01-1E2410FA12D8}" name="Quelle Scope 1" dataDxfId="64"/>
    <tableColumn id="8" xr3:uid="{02EC6BE3-97DA-44DB-A7AF-980D106D88C9}" name="Quelle Scope 2" dataDxfId="63"/>
    <tableColumn id="9" xr3:uid="{F604FB8E-877B-4A9E-87FB-A9BBD36C6541}" name="Quelle Scope 3" dataDxfId="62"/>
    <tableColumn id="12" xr3:uid="{9066A5D1-43FB-46F9-8EDE-B4725B3F16E4}" name="Kommentar" dataDxfId="61"/>
    <tableColumn id="13" xr3:uid="{D4320376-7EF6-4F22-81E1-3D287212E32B}" name="Scope 1 Kategorie" dataDxfId="60">
      <calculatedColumnFormula>"-"</calculatedColumnFormula>
    </tableColumn>
    <tableColumn id="14" xr3:uid="{36415ACC-6EA5-4316-8CF9-520818A6C244}" name="Scope 2 Kategorie" dataDxfId="59">
      <calculatedColumnFormula>"-"</calculatedColumnFormula>
    </tableColumn>
    <tableColumn id="15" xr3:uid="{F8969216-279F-4FC8-82E2-7F932F40B8A2}" name="Scope 3 Kategorie" dataDxfId="58">
      <calculatedColumnFormula>"Kat. 1"</calculatedColumnFormula>
    </tableColumn>
  </tableColumns>
  <tableStyleInfo name="Tabelle KBK"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302237F-14B0-448C-B749-1BB99C80C401}" name="EFs_IT" displayName="EFs_IT" ref="C193:P200" totalsRowShown="0" headerRowDxfId="57" dataDxfId="56" tableBorderDxfId="55">
  <tableColumns count="14">
    <tableColumn id="16" xr3:uid="{13EABC4A-95DC-4520-8855-ED1BD347BD4C}" name="Sektor_Thema" dataDxfId="54">
      <calculatedColumnFormula>CONCATENATE(EFs_IT[[#This Row],[Thema]]," - ",EFs_IT[[#This Row],[Bezeichnung]])</calculatedColumnFormula>
    </tableColumn>
    <tableColumn id="1" xr3:uid="{E8A8C7A6-8A75-40CB-9318-594DA3034D27}" name="Thema" dataDxfId="53">
      <calculatedColumnFormula>"IT_Dienstleistungen"</calculatedColumnFormula>
    </tableColumn>
    <tableColumn id="2" xr3:uid="{DEC08A04-4DD5-4954-AE74-124DE6DC1923}" name="Bezeichnung" dataDxfId="52"/>
    <tableColumn id="3" xr3:uid="{ECF8A34C-B3F5-4001-A222-ADE180244C6F}" name="Erfassungseinheit" dataDxfId="51"/>
    <tableColumn id="4" xr3:uid="{59366C74-D9E4-456A-923B-6F99D1464BC3}" name="EF Scope 1_x000a_(kg CO2e/Einheit)" dataDxfId="50"/>
    <tableColumn id="5" xr3:uid="{9065E800-9653-4D93-BCD5-F29E66AEAEE8}" name="EF Scope 2_x000a_(kg CO2e/Einheit)" dataDxfId="49"/>
    <tableColumn id="6" xr3:uid="{766B22DC-2892-4FC7-A02B-D8CCDCCF0B44}" name="EF Scope 3_x000a_(kg CO2e/Einheit)" dataDxfId="48"/>
    <tableColumn id="7" xr3:uid="{AB3308D8-B124-444F-95D6-39E91DF56AD3}" name="Quelle Scope 1" dataDxfId="47"/>
    <tableColumn id="8" xr3:uid="{0482278B-10B9-4F5D-945A-0BF0125EE6E4}" name="Quelle Scope 2" dataDxfId="46"/>
    <tableColumn id="9" xr3:uid="{534D105C-A66D-442F-95C0-ADC1958F71F4}" name="Quelle Scope 3" dataDxfId="45"/>
    <tableColumn id="12" xr3:uid="{10DB9C4A-0430-415E-BC7B-A9B996E64F9C}" name="Kommentar" dataDxfId="44"/>
    <tableColumn id="13" xr3:uid="{FF3FA809-0C12-475A-9E09-D5BB1220C8C2}" name="Scope 1 Kategorie" dataDxfId="43">
      <calculatedColumnFormula>"-"</calculatedColumnFormula>
    </tableColumn>
    <tableColumn id="14" xr3:uid="{7BB17224-DB90-4E67-ADDA-31F4138439DE}" name="Scope 2 Kategorie" dataDxfId="42">
      <calculatedColumnFormula>"-"</calculatedColumnFormula>
    </tableColumn>
    <tableColumn id="15" xr3:uid="{E13A9FF0-526D-43D5-A0FC-F0CE80BE887D}" name="Scope 3 Kategorie" dataDxfId="41">
      <calculatedColumnFormula>"Kat. 1"</calculatedColumnFormula>
    </tableColumn>
  </tableColumns>
  <tableStyleInfo name="Tabelle KBK"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0F93137-7755-4459-8B15-307A07E38E9C}" name="Strom" displayName="Strom" ref="C55:U76" totalsRowCount="1" headerRowDxfId="699" dataDxfId="698" totalsRowDxfId="697">
  <tableColumns count="19">
    <tableColumn id="20" xr3:uid="{84036BC1-A70E-44B9-9322-075827F71645}" name="Sektor_Thema" dataDxfId="696" totalsRowDxfId="695">
      <calculatedColumnFormula>$C$54</calculatedColumnFormula>
    </tableColumn>
    <tableColumn id="3" xr3:uid="{358D634F-FFB3-4633-A295-A3FB26469E9E}" name="Zuordnung Gliederungselement (Dropdown)" totalsRowLabel="Summe" dataDxfId="694" totalsRowDxfId="693"/>
    <tableColumn id="4" xr3:uid="{206E9B4D-A231-4EB6-BAF2-FEB5C7A7DE7E}" name="Emissionsquelle/Aktivität (Dropdown)" dataDxfId="692" totalsRowDxfId="691"/>
    <tableColumn id="6" xr3:uid="{94268756-D7A0-4C21-808E-0F5F5B9C4381}" name="Wert _x000a_(Zahl)" dataDxfId="690" totalsRowDxfId="689"/>
    <tableColumn id="5" xr3:uid="{8E983AC2-27EB-4F92-875A-ADF62E2FE9BD}" name="Einheit _x000a_(vorausgefüllt)" dataDxfId="688" totalsRowDxfId="687">
      <calculatedColumnFormula>IFERROR(VLOOKUP(Strom[[#This Row],[Thema_Bezeichung]],Emissionsfaktoren!$C$9:$N$201,4,FALSE),"")</calculatedColumnFormula>
    </tableColumn>
    <tableColumn id="7" xr3:uid="{E6B18DA3-C172-4E48-80C8-98A0E3A8E5E0}" name="Datenqualität Wert (Dropdown)" dataDxfId="686" totalsRowDxfId="685"/>
    <tableColumn id="8" xr3:uid="{2FE0E40E-E770-4A26-B75F-BC4BD627A5D7}" name="Notiz - Datenquelle _x000a_(Text)" dataDxfId="684" totalsRowDxfId="683"/>
    <tableColumn id="9" xr3:uid="{F8BB6D31-0FFC-41BE-BD10-F0CCF8246E51}" name="Notiz - Kommentar _x000a_(Text)" dataDxfId="682" totalsRowDxfId="681"/>
    <tableColumn id="27" xr3:uid="{BB5E953F-6AD1-47C7-BCF5-BAD7C087F996}" name="Ergebnis [kg CO2e] (vorausgefüllt)" totalsRowFunction="sum" dataDxfId="680" totalsRowDxfId="679">
      <calculatedColumnFormula>IF(ISBLANK(Strom[[#This Row],[Wert 
(Zahl)]]),"", SUM(Strom[[#This Row],[Scope 1 Ergebnis location-based '[kg CO2e']]:[Scope 3 Ergebnis location-based '[kg CO2e']]]))</calculatedColumnFormula>
    </tableColumn>
    <tableColumn id="1" xr3:uid="{830C3DF8-2306-4AE9-AB4C-ECEA86B71508}" name="." dataDxfId="678" totalsRowDxfId="677"/>
    <tableColumn id="28" xr3:uid="{66165A44-90EB-4F2C-AD05-5CC94C5CAB4A}" name="Thema_Bezeichung" dataDxfId="676" totalsRowDxfId="675">
      <calculatedColumnFormula>IF(ISBLANK(Strom[[#This Row],[Emissionsquelle/Aktivität (Dropdown)]]),"",CONCATENATE(Strom[[#This Row],[Sektor_Thema]]," - ",Strom[[#This Row],[Emissionsquelle/Aktivität (Dropdown)]]))</calculatedColumnFormula>
    </tableColumn>
    <tableColumn id="10" xr3:uid="{0CCE5925-CB02-42BD-9F0B-372BF626776E}" name="Scope 1 Emissionsfaktor [kg CO2e/Einheit]" dataDxfId="674" totalsRowDxfId="673">
      <calculatedColumnFormula>IFERROR(VLOOKUP(Strom[[#This Row],[Thema_Bezeichung]],EFs_Strom[],5,FALSE),"")</calculatedColumnFormula>
    </tableColumn>
    <tableColumn id="11" xr3:uid="{C01E352D-7205-4D48-A315-2C31DCB27B28}" name="Scope 2 Emissionsfaktor [kg CO2e/Einheit]" dataDxfId="672" totalsRowDxfId="671">
      <calculatedColumnFormula>IFERROR(VLOOKUP(Strom[[#This Row],[Thema_Bezeichung]],EFs_Strom[],6,FALSE),"")</calculatedColumnFormula>
    </tableColumn>
    <tableColumn id="12" xr3:uid="{C40CB4F2-CB76-47B5-8935-F1034E255466}" name="Scope 3 Emissionsfaktor [kg CO2e/Einheit]" dataDxfId="670" totalsRowDxfId="669">
      <calculatedColumnFormula>IFERROR(VLOOKUP(Strom[[#This Row],[Thema_Bezeichung]],EFs_Strom[],7,FALSE),"")</calculatedColumnFormula>
    </tableColumn>
    <tableColumn id="22" xr3:uid="{D739566E-837D-47F0-816A-E12166C94498}" name="Vermeidungsfaktor [kg CO2e/Einheit]" dataDxfId="668" totalsRowDxfId="667">
      <calculatedColumnFormula>IFERROR(VLOOKUP(Strom[[#This Row],[Thema_Bezeichung]],EFs_Strom[],11,FALSE),"")</calculatedColumnFormula>
    </tableColumn>
    <tableColumn id="16" xr3:uid="{E41A66BD-0B0E-437C-8B60-852329DDE6C1}" name="Scope 1 Ergebnis location-based [kg CO2e]" totalsRowFunction="sum" dataDxfId="666" totalsRowDxfId="665">
      <calculatedColumnFormula>IFERROR(Strom[[#This Row],[Wert 
(Zahl)]]*Strom[[#This Row],[Scope 1 Emissionsfaktor '[kg CO2e/Einheit']]],"")</calculatedColumnFormula>
    </tableColumn>
    <tableColumn id="17" xr3:uid="{82F1FAF8-60E5-4717-AD23-ECE1CC93C22E}" name="Scope 2 Ergebnis location-based [kg CO2e]" totalsRowFunction="sum" dataDxfId="664" totalsRowDxfId="663">
      <calculatedColumnFormula>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calculatedColumnFormula>
    </tableColumn>
    <tableColumn id="18" xr3:uid="{9B2F46DB-9AC6-4298-B96B-041C15D0FE46}" name="Scope 3 Ergebnis location-based [kg CO2e]" totalsRowFunction="sum" dataDxfId="662" totalsRowDxfId="661">
      <calculatedColumnFormula>IF(Strom[[#This Row],[Emissionsquelle/Aktivität (Dropdown)]]="Strombezug (Grünstrom)",Strom[[#This Row],[Wert 
(Zahl)]]*VLOOKUP("Strom - Strombezug (Strommix Deutschland)",EFs_Strom[],7,FALSE),IFERROR(Strom[[#This Row],[Wert 
(Zahl)]]*Strom[[#This Row],[Scope 3 Emissionsfaktor '[kg CO2e/Einheit']]],""))</calculatedColumnFormula>
    </tableColumn>
    <tableColumn id="23" xr3:uid="{EBA79B11-296B-4A11-B1E2-125A304070B1}" name="Vermiedene Emissionen [kg CO2e]" totalsRowFunction="sum" dataDxfId="660" totalsRowDxfId="659">
      <calculatedColumnFormula>IFERROR(Strom[[#This Row],[Vermeidungsfaktor '[kg CO2e/Einheit']]]*Strom[[#This Row],[Wert 
(Zahl)]],"")</calculatedColumnFormula>
    </tableColumn>
  </tableColumns>
  <tableStyleInfo name="Tabelle KBK"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44AA50-12F4-4948-976D-3D2DC1E4A8E9}" name="Tabelle1" displayName="Tabelle1" ref="A10:P127" totalsRowShown="0">
  <autoFilter ref="A10:P127" xr:uid="{4CF84D0C-1186-4414-9900-493FE02BF45B}"/>
  <tableColumns count="16">
    <tableColumn id="1" xr3:uid="{C618EB97-B897-436B-95B5-1F8CF3E1EB6B}" name="Thema" dataDxfId="40"/>
    <tableColumn id="2" xr3:uid="{B2F17014-967C-46AC-877B-68B9228A81DB}" name="Bezeichnung"/>
    <tableColumn id="3" xr3:uid="{1C5157CC-7BFF-4F71-816B-112D73D049B6}" name="Erfassungseinheit"/>
    <tableColumn id="4" xr3:uid="{04CD6C15-4288-4658-907F-23416B63F418}" name="2023 EF Scope 1_x000a_(kg CO2e/Einheit)_x000a_- _x000a_CO2-Kulturrechner 2024" dataDxfId="39"/>
    <tableColumn id="8" xr3:uid="{DD2841F2-0A21-4FDA-9F4F-4DC625F87908}" name="2022 EF Scope 1_x000a_(kg CO2e/Einheit)_x000a_- _x000a_CO2-Kulturrechner 2023" dataDxfId="38"/>
    <tableColumn id="12" xr3:uid="{A62124CC-C865-43AE-AD3F-EAD6F0CFE6F1}" name="Scope 1 Änderung zum Vorjahr (%)" dataDxfId="37"/>
    <tableColumn id="5" xr3:uid="{8C8B283D-36AB-490A-B287-57770EE5A6A7}" name="2023 EF Scope 2_x000a_(kg CO2e/Einheit)_x000a_- _x000a_CO2-Kulturrechner 2024"/>
    <tableColumn id="9" xr3:uid="{9A16151C-B1FB-43D3-9160-FE09307B33FE}" name="2022 EF Scope 2_x000a_(kg CO2e/Einheit)_x000a_- _x000a_CO2-Kulturrechner 2023"/>
    <tableColumn id="13" xr3:uid="{2CA596FA-DACB-46EB-A34F-660167EE7FB7}" name="Scope 2 Änderung zum Vorjahr (%)" dataDxfId="36"/>
    <tableColumn id="6" xr3:uid="{5E62323D-1565-406D-A012-707B2E82B40B}" name="2023 EF Scope 3_x000a_(kg CO2e/Einheit)_x000a_- _x000a_CO2-Kulturrechner 2024"/>
    <tableColumn id="10" xr3:uid="{9C74F137-85FC-413A-805E-474837703995}" name="2022 EF Scope 3_x000a_(kg CO2e/Einheit)_x000a_- _x000a_CO2-Kulturrechner 2023"/>
    <tableColumn id="14" xr3:uid="{076824E1-D0B0-4860-8392-0978E2320982}" name="Scope 3 Änderung zum Vorjahr (%)" dataDxfId="35"/>
    <tableColumn id="7" xr3:uid="{39B477CF-7034-409B-8B8B-8A8AD0F31B37}" name="2023 Vermeidungsfaktor (kg CO2e/Einheit)_x000a_- _x000a_CO2-Kulturrechner 2024" dataDxfId="34"/>
    <tableColumn id="11" xr3:uid="{21CEEA1F-2624-4B34-8BAE-D5EB84DCA855}" name="2022 Vermeidungsfaktor (kg CO2e/Einheit)_x000a_- _x000a_CO2-Kulturrechner 2023" dataDxfId="33"/>
    <tableColumn id="15" xr3:uid="{DF591881-4BFD-4F26-80C7-68A13561D595}" name="Vermeidungsfaktor Änderung (%)" dataDxfId="32"/>
    <tableColumn id="16" xr3:uid="{AC5A4C20-9482-42AA-B2B8-230F55E9A53B}" name="Kommentar Änderung" dataDxfId="31"/>
  </tableColumns>
  <tableStyleInfo name="TableStyleMedium1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BC3215C-779D-46B1-9C26-ADC9B30E0818}" name="Tabelle2" displayName="Tabelle2" ref="A132:P152" totalsRowShown="0">
  <autoFilter ref="A132:P152" xr:uid="{241D5082-A59C-498C-8A79-C00C911EE5BC}"/>
  <tableColumns count="16">
    <tableColumn id="1" xr3:uid="{F8677839-BBE0-4334-9A8A-9AF65E940540}" name="Thema" dataDxfId="30"/>
    <tableColumn id="2" xr3:uid="{9BA9EAFA-B13F-4E87-9E8E-EE7408E7D576}" name="Bezeichnung"/>
    <tableColumn id="3" xr3:uid="{A99B71CF-EE53-471C-9477-D9000F28C0D1}" name="Erfassungseinheit"/>
    <tableColumn id="4" xr3:uid="{93F9F36E-BE88-4E0C-B644-25B292E3838D}" name="2023 EF Scope 1_x000a_(kg CO2e/Einheit)" dataDxfId="29"/>
    <tableColumn id="5" xr3:uid="{B0E16330-76F7-4140-ABEB-0B505E10DF60}" name="2022 EF Scope 1_x000a_(kg CO2e/Einheit)" dataDxfId="28"/>
    <tableColumn id="6" xr3:uid="{A60EBEF3-684C-4A34-A3E2-E12E783B29C1}" name="Scope 1 Änderung zum Vorjahr (%)" dataDxfId="27"/>
    <tableColumn id="7" xr3:uid="{B0CE5E34-17FA-452B-A8A2-42C0481C594D}" name="2023 EF Scope 2_x000a_(kg CO2e/Einheit)" dataDxfId="26"/>
    <tableColumn id="8" xr3:uid="{7179FF9A-E49C-428F-9C5A-4215C6742087}" name="2022 EF Scope 2_x000a_(kg CO2e/Einheit)" dataDxfId="25"/>
    <tableColumn id="9" xr3:uid="{7DB17032-3F25-4185-AC07-76B0844477EE}" name="Scope 2 Änderung zum Vorjahr (%)" dataDxfId="24"/>
    <tableColumn id="10" xr3:uid="{7AFF9630-4259-477C-A0BC-BFEC8A86DE47}" name="2023 EF Scope 3.1_x000a_(kg CO2e/Einheit)" dataDxfId="23"/>
    <tableColumn id="11" xr3:uid="{78DFFD44-D83B-43E8-A2D7-4B6F5521FD60}" name="2022 EF Scope 3.1_x000a_(kg CO2e/Einheit)" dataDxfId="22"/>
    <tableColumn id="12" xr3:uid="{CDDDE9BE-E22E-4020-9EB3-D1BDBCCBB2BE}" name="Scope 3.1 Änderung zum Vorjahr (%)" dataDxfId="21"/>
    <tableColumn id="13" xr3:uid="{6A898FA9-66CD-4CC6-8A71-D789723F947A}" name="2023 EF Scope 3.5_x000a_(kg CO2e/Einheit)" dataDxfId="20"/>
    <tableColumn id="14" xr3:uid="{5211149E-ECB8-4EA1-98EA-2F72C956E057}" name="2022 EF Scope 3.5_x000a_(kg CO2e/Einheit)" dataDxfId="19"/>
    <tableColumn id="15" xr3:uid="{EA265AEB-AC33-4CF2-9460-C5B83446A32C}" name="Scope 3.5 Änderung zum Vorjahr (%)" dataDxfId="18"/>
    <tableColumn id="16" xr3:uid="{165D6EDD-0E78-40FA-B2BC-98B9D3425B8C}" name="Kommentar Änderung" dataDxfId="17"/>
  </tableColumns>
  <tableStyleInfo name="TableStyleMedium1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307FC91-7749-430D-9093-F839A2FF1A23}" name="Sektor_Thema" displayName="Sektor_Thema" ref="D3:L15" totalsRowShown="0" headerRowDxfId="16">
  <autoFilter ref="D3:L15" xr:uid="{5307FC91-7749-430D-9093-F839A2FF1A23}"/>
  <tableColumns count="9">
    <tableColumn id="3" xr3:uid="{A6564408-9DA5-4C10-AA49-F2DEBC78AEEB}" name="Thema"/>
    <tableColumn id="9" xr3:uid="{5723A2EF-70D8-4DEE-8CCF-999045D150E8}" name="Systemgrenze" dataDxfId="15"/>
    <tableColumn id="2" xr3:uid="{DDF2E872-CD44-4E7C-9EC3-B0FC8D94C64A}" name="Sektor"/>
    <tableColumn id="4" xr3:uid="{576F109C-870B-43A1-9B4F-304B0E09AD4D}" name="Sektor_Thema" dataDxfId="14">
      <calculatedColumnFormula>CONCATENATE(F4,": ",D4)</calculatedColumnFormula>
    </tableColumn>
    <tableColumn id="1" xr3:uid="{C3683859-3498-4EF9-BA36-33F8BB22912E}" name="Thema_"/>
    <tableColumn id="5" xr3:uid="{693F0325-4C5C-481F-BFC7-AA680DCF560F}" name="Scope 1 Zuordnung" dataDxfId="13"/>
    <tableColumn id="6" xr3:uid="{80B53DC5-14E9-487A-8ADB-C85F8FB4C70E}" name="Scope 2 Zuordnung" dataDxfId="12"/>
    <tableColumn id="7" xr3:uid="{4E7689BD-CD3D-4EA6-8A0D-3BE6A94863D5}" name="Scope 3 Zuordnung" dataDxfId="11"/>
    <tableColumn id="8" xr3:uid="{809FA04A-EE7F-4915-9103-4161DE593AB2}" name="Scope 3 Zuordnung 2" dataDxfId="10"/>
  </tableColumns>
  <tableStyleInfo name="TableStyleMedium3"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D648661-973C-4DFC-BA54-83D0BFC3B5AD}" name="DD_Datenqualität" displayName="DD_Datenqualität" ref="B80:B83" totalsRowShown="0">
  <autoFilter ref="B80:B83" xr:uid="{4D648661-973C-4DFC-BA54-83D0BFC3B5AD}"/>
  <tableColumns count="1">
    <tableColumn id="1" xr3:uid="{49C2B12D-7891-4E26-91B1-3DA1E73EBCF4}" name="DD_Datenqualität"/>
  </tableColumns>
  <tableStyleInfo name="TableStyleMedium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0A52081-EF94-4AC2-AA78-5C5A50306C50}" name="DD_Sparten" displayName="DD_Sparten" ref="B3:B8" totalsRowShown="0" headerRowDxfId="9">
  <autoFilter ref="B3:B8" xr:uid="{50A52081-EF94-4AC2-AA78-5C5A50306C50}"/>
  <tableColumns count="1">
    <tableColumn id="1" xr3:uid="{C7071D39-F2F2-4B5D-B4C5-6B91F531B144}" name="DD_Sparten"/>
  </tableColumns>
  <tableStyleInfo name="TableStyleMedium3"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AA366A8-FD90-474D-8C55-741BE12AEE2C}" name="DD_ja_nein" displayName="DD_ja_nein" ref="B85:B87" totalsRowShown="0">
  <autoFilter ref="B85:B87" xr:uid="{4AA366A8-FD90-474D-8C55-741BE12AEE2C}"/>
  <tableColumns count="1">
    <tableColumn id="1" xr3:uid="{35F8846A-C0CA-4800-9E91-6E93B6D997D4}" name="DD_ja_nei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5655D64-CAA4-4688-8719-1F54B537A409}" name="Kühl_und_Kältemittel" displayName="Kühl_und_Kältemittel" ref="C82:S103" totalsRowCount="1" headerRowDxfId="658" dataDxfId="657" totalsRowDxfId="656">
  <tableColumns count="17">
    <tableColumn id="20" xr3:uid="{5BDA3824-A51E-4B19-BDEF-597B0972B100}" name="Sektor_Thema" dataDxfId="655" totalsRowDxfId="654">
      <calculatedColumnFormula>$C$81</calculatedColumnFormula>
    </tableColumn>
    <tableColumn id="3" xr3:uid="{B4422975-F21A-4368-8A98-A6D53561EB1B}" name="Zuordnung Gliederungselement (Dropdown)" totalsRowLabel="Summe" dataDxfId="653" totalsRowDxfId="652"/>
    <tableColumn id="4" xr3:uid="{E9952CE1-BCC9-4346-AC62-3A541C18B15E}" name="Emissionsquelle/Aktivität (Dropdown)" dataDxfId="651" totalsRowDxfId="650"/>
    <tableColumn id="6" xr3:uid="{78D58065-30AF-4CFC-8515-1BDD7A18F614}" name="Wert _x000a_(Zahl)" dataDxfId="649" totalsRowDxfId="648"/>
    <tableColumn id="5" xr3:uid="{6D2652D8-E142-45B6-9635-E502D48F3636}" name="Einheit _x000a_(vorausgefüllt)" dataDxfId="647" totalsRowDxfId="646">
      <calculatedColumnFormula>IFERROR(VLOOKUP(Kühl_und_Kältemittel[[#This Row],[Thema_Bezeichung]],Emissionsfaktoren!$C$9:$N$201,4,FALSE),"")</calculatedColumnFormula>
    </tableColumn>
    <tableColumn id="7" xr3:uid="{44C1305F-D30F-4350-A9FD-18E58B968420}" name="Datenqualität Wert (Dropdown)" dataDxfId="645" totalsRowDxfId="644"/>
    <tableColumn id="8" xr3:uid="{D3FF9272-F59F-4E1E-9A6F-4ABC7938082B}" name="Notiz - Datenquelle _x000a_(Text)" dataDxfId="643" totalsRowDxfId="642"/>
    <tableColumn id="9" xr3:uid="{0B1BDA41-FD53-4613-83DA-B69C7FB3BE7E}" name="Notiz - Kommentar _x000a_(Text)" dataDxfId="641" totalsRowDxfId="640"/>
    <tableColumn id="24" xr3:uid="{05EE152E-CC05-48CE-847F-251D6372298F}" name="Ergebnis [kg CO2e] (vorausgefüllt)" totalsRowFunction="sum" dataDxfId="639" totalsRowDxfId="638">
      <calculatedColumnFormula>IF(ISBLANK(Kühl_und_Kältemittel[[#This Row],[Wert 
(Zahl)]]),"", SUM(Kühl_und_Kältemittel[[#This Row],[Scope 1 Ergebnis location-based '[kg CO2e']]:[Scope 3 Ergebnis location-based '[kg CO2e']]]))</calculatedColumnFormula>
    </tableColumn>
    <tableColumn id="2" xr3:uid="{CA37214D-3A66-442D-A61B-96EE4697764E}" name="." dataDxfId="637" totalsRowDxfId="636"/>
    <tableColumn id="26" xr3:uid="{B5378DAF-F9F8-45A0-98EF-E5441E38D3CE}" name="Thema_Bezeichung" dataDxfId="635" totalsRowDxfId="634">
      <calculatedColumnFormula>IF(ISBLANK(Kühl_und_Kältemittel[[#This Row],[Emissionsquelle/Aktivität (Dropdown)]]),"",CONCATENATE(Kühl_und_Kältemittel[[#This Row],[Sektor_Thema]]," - ",Kühl_und_Kältemittel[[#This Row],[Emissionsquelle/Aktivität (Dropdown)]]))</calculatedColumnFormula>
    </tableColumn>
    <tableColumn id="10" xr3:uid="{57E970A9-9928-41B6-A2BC-AE6A7683F9BB}" name="Scope 1 Emissionsfaktor [kg CO2e/Einheit]" dataDxfId="633" totalsRowDxfId="632">
      <calculatedColumnFormula>IFERROR(VLOOKUP(Kühl_und_Kältemittel[[#This Row],[Thema_Bezeichung]],EFs_Kühlmittel[],5,FALSE),"")</calculatedColumnFormula>
    </tableColumn>
    <tableColumn id="11" xr3:uid="{14516551-E62E-4893-B6D2-5BEE6FFE6F74}" name="Scope 2 Emissionsfaktor [kg CO2e/Einheit]" dataDxfId="631" totalsRowDxfId="630">
      <calculatedColumnFormula>IFERROR(VLOOKUP(Kühl_und_Kältemittel[[#This Row],[Thema_Bezeichung]],EFs_Kühlmittel[],6,FALSE),"")</calculatedColumnFormula>
    </tableColumn>
    <tableColumn id="12" xr3:uid="{4EC74749-164F-4B7D-9B37-4867C28147DA}" name="Scope 3 Emissionsfaktor [kg CO2e/Einheit]" dataDxfId="629" totalsRowDxfId="628">
      <calculatedColumnFormula>IFERROR(VLOOKUP(Kühl_und_Kältemittel[[#This Row],[Thema_Bezeichung]],EFs_Kühlmittel[],7,FALSE),"")</calculatedColumnFormula>
    </tableColumn>
    <tableColumn id="16" xr3:uid="{CC554853-1E40-4FE1-AC4E-EF19FF3E1988}" name="Scope 1 Ergebnis location-based [kg CO2e]" totalsRowFunction="sum" dataDxfId="627" totalsRowDxfId="626">
      <calculatedColumnFormula>IFERROR(Kühl_und_Kältemittel[[#This Row],[Wert 
(Zahl)]]*Kühl_und_Kältemittel[[#This Row],[Scope 1 Emissionsfaktor '[kg CO2e/Einheit']]],"")</calculatedColumnFormula>
    </tableColumn>
    <tableColumn id="17" xr3:uid="{2516AD14-8E61-4C0D-A510-C729C71EDF3F}" name="Scope 2 Ergebnis location-based [kg CO2e]" totalsRowFunction="sum" dataDxfId="625" totalsRowDxfId="624">
      <calculatedColumnFormula>IFERROR(Kühl_und_Kältemittel[[#This Row],[Wert 
(Zahl)]]*Kühl_und_Kältemittel[[#This Row],[Scope 2 Emissionsfaktor '[kg CO2e/Einheit']]],"")</calculatedColumnFormula>
    </tableColumn>
    <tableColumn id="18" xr3:uid="{DE4C7617-3611-41EE-A32A-3984EF777415}" name="Scope 3 Ergebnis location-based [kg CO2e]" totalsRowFunction="sum" dataDxfId="623" totalsRowDxfId="622">
      <calculatedColumnFormula>IFERROR(Kühl_und_Kältemittel[[#This Row],[Wert 
(Zahl)]]*Kühl_und_Kältemittel[[#This Row],[Scope 3 Emissionsfaktor '[kg CO2e/Einheit']]],"")</calculatedColumnFormula>
    </tableColumn>
  </tableColumns>
  <tableStyleInfo name="Tabelle KBK"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8B41EA0-1FD7-487D-AFA3-155680CAC05B}" name="Fuhrpark" displayName="Fuhrpark" ref="C109:S130" totalsRowCount="1" headerRowDxfId="621" dataDxfId="620" totalsRowDxfId="619">
  <tableColumns count="17">
    <tableColumn id="20" xr3:uid="{3F033285-B477-455F-8D53-3BDB290413DE}" name="Sektor_Thema" dataDxfId="618" totalsRowDxfId="617">
      <calculatedColumnFormula>$C$108</calculatedColumnFormula>
    </tableColumn>
    <tableColumn id="3" xr3:uid="{9E1326DC-C4F8-4293-9E17-BDD116ADB813}" name="Zuordnung Gliederungselement (Dropdown)" totalsRowLabel="Summe" dataDxfId="616" totalsRowDxfId="615"/>
    <tableColumn id="4" xr3:uid="{14F7B6DC-47C6-47DE-9379-6F029DC31C94}" name="Emissionsquelle/Aktivität (Dropdown)" dataDxfId="614" totalsRowDxfId="613"/>
    <tableColumn id="6" xr3:uid="{467056CC-C86A-407D-A724-564BC98D1CDB}" name="Wert _x000a_(Zahl)" dataDxfId="612" totalsRowDxfId="611"/>
    <tableColumn id="5" xr3:uid="{9BD42586-3C3C-4542-8AD4-29EFF5F2073D}" name="Einheit _x000a_(vorausgefüllt)" dataDxfId="610" totalsRowDxfId="609">
      <calculatedColumnFormula>IFERROR(VLOOKUP(Fuhrpark[[#This Row],[Thema_Bezeichung]],Emissionsfaktoren!$C$9:$N$201,4,FALSE),"")</calculatedColumnFormula>
    </tableColumn>
    <tableColumn id="7" xr3:uid="{E5AB815D-626F-4236-8B2F-1FD3732F30AA}" name="Datenqualität Wert (Dropdown)" dataDxfId="608" totalsRowDxfId="607"/>
    <tableColumn id="8" xr3:uid="{4ED6AA0B-13A9-43AA-A7B6-C222A78B0FFE}" name="Notiz - Datenquelle _x000a_(Text)" dataDxfId="606" totalsRowDxfId="605"/>
    <tableColumn id="9" xr3:uid="{FFDE916D-036C-49F7-B6A3-869A9FD3FC24}" name="Notiz - Kommentar _x000a_(Text)" dataDxfId="604" totalsRowDxfId="603"/>
    <tableColumn id="24" xr3:uid="{9B72FBAB-4BBA-456A-ADA2-5600407E6F8B}" name="Ergebnis [kg CO2e] (vorausgefüllt)" totalsRowFunction="sum" dataDxfId="602" totalsRowDxfId="601">
      <calculatedColumnFormula>IF(ISBLANK(Fuhrpark[[#This Row],[Wert 
(Zahl)]]),"", SUM(Fuhrpark[[#This Row],[Scope 1 Ergebnis location-based '[kg CO2e']]:[Scope 3 Ergebnis location-based '[kg CO2e']]]))</calculatedColumnFormula>
    </tableColumn>
    <tableColumn id="2" xr3:uid="{66B94D64-C041-4654-8C06-11D92516E021}" name="." dataDxfId="600" totalsRowDxfId="599"/>
    <tableColumn id="25" xr3:uid="{0CDD8454-1E18-4F26-ABDB-1641880A881F}" name="Thema_Bezeichung" dataDxfId="598" totalsRowDxfId="597">
      <calculatedColumnFormula>IF(ISBLANK(Fuhrpark[[#This Row],[Emissionsquelle/Aktivität (Dropdown)]]),"",CONCATENATE(Fuhrpark[[#This Row],[Sektor_Thema]]," - ",Fuhrpark[[#This Row],[Emissionsquelle/Aktivität (Dropdown)]]))</calculatedColumnFormula>
    </tableColumn>
    <tableColumn id="10" xr3:uid="{A6DFFF71-CBEA-43BF-B4B6-E58E74F3D47F}" name="Scope 1 Emissionsfaktor [kg CO2e/Einheit]" dataDxfId="596" totalsRowDxfId="595">
      <calculatedColumnFormula>IFERROR(VLOOKUP(Fuhrpark[[#This Row],[Thema_Bezeichung]],EFs_Fuhrpark[],5,FALSE),"")</calculatedColumnFormula>
    </tableColumn>
    <tableColumn id="11" xr3:uid="{F1C9E3FD-1E89-4082-A53A-826D40EBAF15}" name="Scope 2 Emissionsfaktor [kg CO2e/Einheit]" dataDxfId="594" totalsRowDxfId="593">
      <calculatedColumnFormula>IFERROR(VLOOKUP(Fuhrpark[[#This Row],[Thema_Bezeichung]],EFs_Fuhrpark[],6,FALSE),"")</calculatedColumnFormula>
    </tableColumn>
    <tableColumn id="12" xr3:uid="{9F0ED0BC-6D5A-4549-A79C-5858DF0F4AE0}" name="Scope 3 Emissionsfaktor [kg CO2e/Einheit]" dataDxfId="592" totalsRowDxfId="591">
      <calculatedColumnFormula>IFERROR(VLOOKUP(Fuhrpark[[#This Row],[Thema_Bezeichung]],EFs_Fuhrpark[],7,FALSE),"")</calculatedColumnFormula>
    </tableColumn>
    <tableColumn id="16" xr3:uid="{48AAE054-571C-43F5-808F-F935CCFBF09E}" name="Scope 1 Ergebnis location-based [kg CO2e]" totalsRowFunction="sum" dataDxfId="590" totalsRowDxfId="589">
      <calculatedColumnFormula>IFERROR(Fuhrpark[[#This Row],[Wert 
(Zahl)]]*Fuhrpark[[#This Row],[Scope 1 Emissionsfaktor '[kg CO2e/Einheit']]],"")</calculatedColumnFormula>
    </tableColumn>
    <tableColumn id="17" xr3:uid="{D63753EA-ABBE-4EB8-AEB9-4679D677C359}" name="Scope 2 Ergebnis location-based [kg CO2e]" totalsRowFunction="sum" dataDxfId="588" totalsRowDxfId="587">
      <calculatedColumnFormula>IFERROR(Fuhrpark[[#This Row],[Wert 
(Zahl)]]*Fuhrpark[[#This Row],[Scope 2 Emissionsfaktor '[kg CO2e/Einheit']]],"")</calculatedColumnFormula>
    </tableColumn>
    <tableColumn id="18" xr3:uid="{951C837C-1799-4A9A-A692-4B30A6F2299A}" name="Scope 3 Ergebnis location-based [kg CO2e]" totalsRowFunction="sum" dataDxfId="586" totalsRowDxfId="585">
      <calculatedColumnFormula>IFERROR(Fuhrpark[[#This Row],[Wert 
(Zahl)]]*Fuhrpark[[#This Row],[Scope 3 Emissionsfaktor '[kg CO2e/Einheit']]],"")</calculatedColumnFormula>
    </tableColumn>
  </tableColumns>
  <tableStyleInfo name="Tabelle KBK"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C5843D7-DE85-4892-B8DB-09361A36BE64}" name="Geschäftsreisen" displayName="Geschäftsreisen" ref="C136:S157" totalsRowCount="1" headerRowDxfId="584" dataDxfId="583" totalsRowDxfId="582">
  <tableColumns count="17">
    <tableColumn id="20" xr3:uid="{7DB3C1C7-083D-4018-B629-729F133591DE}" name="Sektor_Thema" dataDxfId="581" totalsRowDxfId="580">
      <calculatedColumnFormula>$C$135</calculatedColumnFormula>
    </tableColumn>
    <tableColumn id="3" xr3:uid="{C9120783-EDFB-4EAD-A5CD-8AED753E9CFC}" name="Zuordnung Gliederungselement (Dropdown)" totalsRowLabel="Summe" dataDxfId="579" totalsRowDxfId="578"/>
    <tableColumn id="4" xr3:uid="{EE606F94-876B-47E4-A6DE-EFA90ABB6BE7}" name="Emissionsquelle/Aktivität (Dropdown)" dataDxfId="577" totalsRowDxfId="576"/>
    <tableColumn id="6" xr3:uid="{3EE4D062-136E-40F4-8735-54D090420632}" name="Wert _x000a_(Zahl)" dataDxfId="575" totalsRowDxfId="574"/>
    <tableColumn id="5" xr3:uid="{30A59B13-E5B4-4BB3-9291-A9290C237B94}" name="Einheit _x000a_(vorausgefüllt)" dataDxfId="573" totalsRowDxfId="572">
      <calculatedColumnFormula>IFERROR(VLOOKUP(Geschäftsreisen[[#This Row],[Thema_Bezeichung]],Emissionsfaktoren!$C$9:$N$201,4,FALSE),"")</calculatedColumnFormula>
    </tableColumn>
    <tableColumn id="7" xr3:uid="{1599042D-7C93-4CE6-A016-BBC466A0A215}" name="Datenqualität Wert (Dropdown)" dataDxfId="571" totalsRowDxfId="570"/>
    <tableColumn id="8" xr3:uid="{1A926C10-7F2D-4351-9372-9A327DD4665A}" name="Notiz - Datenquelle _x000a_(Text)" dataDxfId="569" totalsRowDxfId="568"/>
    <tableColumn id="9" xr3:uid="{BD619C11-C5EB-44D9-95E3-5B216F6799D8}" name="Notiz - Kommentar _x000a_(Text)" dataDxfId="567" totalsRowDxfId="566"/>
    <tableColumn id="24" xr3:uid="{F549E1B0-8E52-4F04-9A61-BD773B58F9B8}" name="Ergebnis [kg CO2e] (vorausgefüllt)" totalsRowFunction="sum" dataDxfId="565" totalsRowDxfId="564">
      <calculatedColumnFormula>IF(ISBLANK(Geschäftsreisen[[#This Row],[Wert 
(Zahl)]]),"", SUM(Geschäftsreisen[[#This Row],[Scope 1 Ergebnis location-based '[kg CO2e']]:[Scope 3 Ergebnis location-based '[kg CO2e']]]))</calculatedColumnFormula>
    </tableColumn>
    <tableColumn id="2" xr3:uid="{5B5D0457-EDBF-4B28-B307-355242F62BA2}" name="." dataDxfId="563" totalsRowDxfId="562"/>
    <tableColumn id="25" xr3:uid="{F9CF0FBF-52C9-45C4-AEF7-9721F0E8B05F}" name="Thema_Bezeichung" dataDxfId="561" totalsRowDxfId="560">
      <calculatedColumnFormula>IF(ISBLANK(Geschäftsreisen[[#This Row],[Emissionsquelle/Aktivität (Dropdown)]]),"",CONCATENATE(Geschäftsreisen[[#This Row],[Sektor_Thema]]," - ",Geschäftsreisen[[#This Row],[Emissionsquelle/Aktivität (Dropdown)]]))</calculatedColumnFormula>
    </tableColumn>
    <tableColumn id="10" xr3:uid="{C0DDE663-51A5-4FF3-978C-2A23CFFBDDF2}" name="Scope 1 Emissionsfaktor [kg CO2e/Einheit]" dataDxfId="559" totalsRowDxfId="558">
      <calculatedColumnFormula>IFERROR(VLOOKUP(Geschäftsreisen[[#This Row],[Thema_Bezeichung]],EFs_Geschäftsreisen[],5,FALSE),"")</calculatedColumnFormula>
    </tableColumn>
    <tableColumn id="11" xr3:uid="{29C61239-FD82-4FB4-9CB6-869253C29992}" name="Scope 2 Emissionsfaktor [kg CO2e/Einheit]" dataDxfId="557" totalsRowDxfId="556">
      <calculatedColumnFormula>IFERROR(VLOOKUP(Geschäftsreisen[[#This Row],[Thema_Bezeichung]],EFs_Geschäftsreisen[],6,FALSE),"")</calculatedColumnFormula>
    </tableColumn>
    <tableColumn id="12" xr3:uid="{3FA2CBA5-C15D-4EA4-9DA1-AD2AD9BCF131}" name="Scope 3 Emissionsfaktor [kg CO2e/Einheit]" dataDxfId="555" totalsRowDxfId="554">
      <calculatedColumnFormula>IFERROR(VLOOKUP(Geschäftsreisen[[#This Row],[Thema_Bezeichung]],EFs_Geschäftsreisen[],7,FALSE),"")</calculatedColumnFormula>
    </tableColumn>
    <tableColumn id="16" xr3:uid="{1E3681B2-698C-44F4-8880-10216302456F}" name="Scope 1 Ergebnis location-based [kg CO2e]" totalsRowFunction="sum" dataDxfId="553" totalsRowDxfId="552">
      <calculatedColumnFormula>IFERROR(Geschäftsreisen[[#This Row],[Wert 
(Zahl)]]*Geschäftsreisen[[#This Row],[Scope 1 Emissionsfaktor '[kg CO2e/Einheit']]],"")</calculatedColumnFormula>
    </tableColumn>
    <tableColumn id="17" xr3:uid="{6E2D3728-79F4-45E0-B822-E697459056B1}" name="Scope 2 Ergebnis location-based [kg CO2e]" totalsRowFunction="sum" dataDxfId="551" totalsRowDxfId="550">
      <calculatedColumnFormula>IFERROR(Geschäftsreisen[[#This Row],[Wert 
(Zahl)]]*Geschäftsreisen[[#This Row],[Scope 2 Emissionsfaktor '[kg CO2e/Einheit']]],"")</calculatedColumnFormula>
    </tableColumn>
    <tableColumn id="18" xr3:uid="{A840089D-64F6-4D25-8F91-4DCB95F12CB1}" name="Scope 3 Ergebnis location-based [kg CO2e]" totalsRowFunction="sum" dataDxfId="549" totalsRowDxfId="548">
      <calculatedColumnFormula>IFERROR(Geschäftsreisen[[#This Row],[Wert 
(Zahl)]]*Geschäftsreisen[[#This Row],[Scope 3 Emissionsfaktor '[kg CO2e/Einheit']]],"")</calculatedColumnFormula>
    </tableColumn>
  </tableColumns>
  <tableStyleInfo name="Tabelle KBK"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BA2A50C-624A-498A-B5F1-8A2426314712}" name="Pendeln_Mitarbeitende" displayName="Pendeln_Mitarbeitende" ref="C163:S184" totalsRowCount="1" headerRowDxfId="547" dataDxfId="546" totalsRowDxfId="545">
  <tableColumns count="17">
    <tableColumn id="20" xr3:uid="{3D320291-27C3-4CB9-AC3C-0C6A5F6CE3BE}" name="Sektor_Thema" dataDxfId="544" totalsRowDxfId="543">
      <calculatedColumnFormula>$C$162</calculatedColumnFormula>
    </tableColumn>
    <tableColumn id="3" xr3:uid="{A7B35655-B5EB-4039-8A10-6094949110EB}" name="Zuordnung Gliederungselement (Dropdown)" totalsRowLabel="Summe" dataDxfId="542" totalsRowDxfId="541"/>
    <tableColumn id="4" xr3:uid="{D1332408-5A22-4E1C-A683-3CC85BD121C5}" name="Emissionsquelle/Aktivität (Dropdown)" dataDxfId="540" totalsRowDxfId="539"/>
    <tableColumn id="6" xr3:uid="{58F09DC0-0C3F-4B73-987B-3EC6A83E15EA}" name="Wert _x000a_(Zahl)" dataDxfId="538" totalsRowDxfId="537"/>
    <tableColumn id="5" xr3:uid="{2414D2B7-2421-4A8B-B313-56D64212DC7B}" name="Einheit _x000a_(vorausgefüllt)" dataDxfId="536" totalsRowDxfId="535">
      <calculatedColumnFormula>IFERROR(VLOOKUP(Pendeln_Mitarbeitende[[#This Row],[Thema_Bezeichung]],Emissionsfaktoren!$C$9:$N$201,4,FALSE),"")</calculatedColumnFormula>
    </tableColumn>
    <tableColumn id="7" xr3:uid="{39C2BB8A-4C30-423C-94A3-5E398D307723}" name="Datenqualität Wert (Dropdown)" dataDxfId="534" totalsRowDxfId="533"/>
    <tableColumn id="8" xr3:uid="{ED944D2C-22C4-4248-87A5-AE7D055E9A8F}" name="Notiz - Datenquelle _x000a_(Text)" dataDxfId="532" totalsRowDxfId="531"/>
    <tableColumn id="9" xr3:uid="{518CE2F3-FF7C-4E2C-8D9C-719113D76C4C}" name="Notiz - Kommentar _x000a_(Text)" dataDxfId="530" totalsRowDxfId="529"/>
    <tableColumn id="26" xr3:uid="{EA014E7C-F0A2-493A-9BEF-B6DB9F5C5001}" name="Ergebnis [kg CO2e] (vorausgefüllt)" totalsRowFunction="sum" dataDxfId="528" totalsRowDxfId="527">
      <calculatedColumnFormula>IF(ISBLANK(Pendeln_Mitarbeitende[[#This Row],[Wert 
(Zahl)]]),"", SUM(Pendeln_Mitarbeitende[[#This Row],[Scope 1 Ergebnis location-based '[kg CO2e']]:[Scope 3 Ergebnis location-based '[kg CO2e']]]))</calculatedColumnFormula>
    </tableColumn>
    <tableColumn id="21" xr3:uid="{09C5EDBC-DA0C-42E8-A9FA-5E1C1DE400D1}" name="." dataDxfId="526" totalsRowDxfId="525"/>
    <tableColumn id="27" xr3:uid="{377A1B65-44A8-4AF2-808C-5D8B06AC1BAC}" name="Thema_Bezeichung" dataDxfId="524" totalsRowDxfId="523">
      <calculatedColumnFormula>IF(ISBLANK(Pendeln_Mitarbeitende[[#This Row],[Emissionsquelle/Aktivität (Dropdown)]]),"",CONCATENATE(Pendeln_Mitarbeitende[[#This Row],[Sektor_Thema]]," - ",Pendeln_Mitarbeitende[[#This Row],[Emissionsquelle/Aktivität (Dropdown)]]))</calculatedColumnFormula>
    </tableColumn>
    <tableColumn id="10" xr3:uid="{6EB1F9CE-CBC4-40CC-94EE-F9E751205223}" name="Scope 1 Emissionsfaktor [kg CO2e/Einheit]" dataDxfId="522" totalsRowDxfId="521">
      <calculatedColumnFormula>IFERROR(VLOOKUP(Pendeln_Mitarbeitende[[#This Row],[Thema_Bezeichung]],EFs_Pendeln[],5,FALSE),"")</calculatedColumnFormula>
    </tableColumn>
    <tableColumn id="11" xr3:uid="{AD8AF0BE-6CB6-4B08-B459-09F371C9CD58}" name="Scope 2 Emissionsfaktor [kg CO2e/Einheit]" dataDxfId="520" totalsRowDxfId="519">
      <calculatedColumnFormula>IFERROR(VLOOKUP(Pendeln_Mitarbeitende[[#This Row],[Thema_Bezeichung]],EFs_Pendeln[],6,FALSE),"")</calculatedColumnFormula>
    </tableColumn>
    <tableColumn id="12" xr3:uid="{D0C7B8D4-C532-4E63-A02D-EC26EC1EF7DE}" name="Scope 3 Emissionsfaktor [kg CO2e/Einheit]" dataDxfId="518" totalsRowDxfId="517">
      <calculatedColumnFormula>IFERROR(VLOOKUP(Pendeln_Mitarbeitende[[#This Row],[Thema_Bezeichung]],EFs_Pendeln[],7,FALSE),"")</calculatedColumnFormula>
    </tableColumn>
    <tableColumn id="16" xr3:uid="{C5C17166-AFCE-4EF6-A892-931471B38FF8}" name="Scope 1 Ergebnis location-based [kg CO2e]" totalsRowFunction="sum" dataDxfId="516" totalsRowDxfId="515">
      <calculatedColumnFormula>IFERROR(Pendeln_Mitarbeitende[[#This Row],[Wert 
(Zahl)]]*Pendeln_Mitarbeitende[[#This Row],[Scope 1 Emissionsfaktor '[kg CO2e/Einheit']]],"")</calculatedColumnFormula>
    </tableColumn>
    <tableColumn id="17" xr3:uid="{AED7F886-D5AA-4FC2-A510-48B157D605FE}" name="Scope 2 Ergebnis location-based [kg CO2e]" totalsRowFunction="sum" dataDxfId="514" totalsRowDxfId="513">
      <calculatedColumnFormula>IFERROR(Pendeln_Mitarbeitende[[#This Row],[Wert 
(Zahl)]]*Pendeln_Mitarbeitende[[#This Row],[Scope 2 Emissionsfaktor '[kg CO2e/Einheit']]],"")</calculatedColumnFormula>
    </tableColumn>
    <tableColumn id="18" xr3:uid="{C8A49AF5-42BA-4257-A8FA-8AC184B95C20}" name="Scope 3 Ergebnis location-based [kg CO2e]" totalsRowFunction="sum" dataDxfId="512" totalsRowDxfId="511">
      <calculatedColumnFormula>IFERROR(Pendeln_Mitarbeitende[[#This Row],[Wert 
(Zahl)]]*Pendeln_Mitarbeitende[[#This Row],[Scope 3 Emissionsfaktor '[kg CO2e/Einheit']]],"")</calculatedColumnFormula>
    </tableColumn>
  </tableColumns>
  <tableStyleInfo name="Tabelle KBK"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717F763-36B9-44B7-BBF8-E572ADAEDCFA}" name="Externe" displayName="Externe" ref="C190:S211" totalsRowCount="1" headerRowDxfId="510" dataDxfId="509" totalsRowDxfId="508">
  <tableColumns count="17">
    <tableColumn id="20" xr3:uid="{AAB6A94D-9772-40FE-87BF-CC0A4500BB69}" name="Sektor_Thema" dataDxfId="507" totalsRowDxfId="506">
      <calculatedColumnFormula>$C$189</calculatedColumnFormula>
    </tableColumn>
    <tableColumn id="3" xr3:uid="{2EB4B1AA-A646-4AB5-8B71-538AFE3D0AF1}" name="Zuordnung Gliederungselement (Dropdown)" totalsRowLabel="Summe" dataDxfId="505" totalsRowDxfId="504"/>
    <tableColumn id="4" xr3:uid="{09ED521C-98AA-4230-8BDE-4BF3020A5EE5}" name="Emissionsquelle/Aktivität (Dropdown)" dataDxfId="503" totalsRowDxfId="502"/>
    <tableColumn id="6" xr3:uid="{C19EA3C4-BC34-4D29-A9B3-3946A4304979}" name="Wert _x000a_(Zahl)" dataDxfId="501" totalsRowDxfId="500"/>
    <tableColumn id="5" xr3:uid="{408AA8D4-5DC3-4D9B-A316-40679E6EFEC8}" name="Einheit _x000a_(vorausgefüllt)" dataDxfId="499" totalsRowDxfId="498">
      <calculatedColumnFormula>IFERROR(VLOOKUP(Externe[[#This Row],[Thema_Bezeichung]],Emissionsfaktoren!$C$9:$N$201,4,FALSE),"")</calculatedColumnFormula>
    </tableColumn>
    <tableColumn id="7" xr3:uid="{B7C40E25-6E20-40EB-9C39-4EA8E808A409}" name="Datenqualität Wert (Dropdown)" dataDxfId="497" totalsRowDxfId="496"/>
    <tableColumn id="8" xr3:uid="{5E994F46-3AB8-4BD7-BCE8-936D601D3121}" name="Notiz - Datenquelle _x000a_(Text)" dataDxfId="495" totalsRowDxfId="494"/>
    <tableColumn id="9" xr3:uid="{49BBCEEE-F386-4279-8C85-CBD7CEA389BF}" name="Notiz - Kommentar _x000a_(Text)" dataDxfId="493" totalsRowDxfId="492"/>
    <tableColumn id="24" xr3:uid="{5F5189E3-4198-498E-908B-D09DE7525A82}" name="Ergebnis [kg CO2e] (vorausgefüllt)" totalsRowFunction="sum" dataDxfId="491" totalsRowDxfId="490">
      <calculatedColumnFormula>IF(ISBLANK(Externe[[#This Row],[Wert 
(Zahl)]]),"", SUM(Externe[[#This Row],[Scope 1 Ergebnis location-based '[kg CO2e']]:[Scope 3 Ergebnis location-based '[kg CO2e']]]))</calculatedColumnFormula>
    </tableColumn>
    <tableColumn id="2" xr3:uid="{F92CA90B-D617-417D-B829-06E395A0BC69}" name="." dataDxfId="489" totalsRowDxfId="488"/>
    <tableColumn id="25" xr3:uid="{436F6AFA-4A15-4692-A7F9-D7B68B9F8F56}" name="Thema_Bezeichung" dataDxfId="487" totalsRowDxfId="486">
      <calculatedColumnFormula>IF(ISBLANK(Externe[[#This Row],[Emissionsquelle/Aktivität (Dropdown)]]),"",CONCATENATE(Externe[[#This Row],[Sektor_Thema]]," - ",Externe[[#This Row],[Emissionsquelle/Aktivität (Dropdown)]]))</calculatedColumnFormula>
    </tableColumn>
    <tableColumn id="10" xr3:uid="{5A3CDEAA-C69C-4662-8938-7D15D6A2B54F}" name="Scope 1 Emissionsfaktor [kg CO2e/Einheit]" dataDxfId="485" totalsRowDxfId="484">
      <calculatedColumnFormula>IFERROR(VLOOKUP(Externe[[#This Row],[Thema_Bezeichung]],EFs_Externe[],5,FALSE),"")</calculatedColumnFormula>
    </tableColumn>
    <tableColumn id="11" xr3:uid="{437A3748-FEE6-49EB-9B19-B1341177ED85}" name="Scope 2 Emissionsfaktor [kg CO2e/Einheit]" dataDxfId="483" totalsRowDxfId="482">
      <calculatedColumnFormula>IFERROR(VLOOKUP(Externe[[#This Row],[Thema_Bezeichung]],EFs_Externe[],6,FALSE),"")</calculatedColumnFormula>
    </tableColumn>
    <tableColumn id="12" xr3:uid="{CFF366C4-3582-48BC-9F43-C2625DA07F19}" name="Scope 3 Emissionsfaktor [kg CO2e/Einheit]" dataDxfId="481" totalsRowDxfId="480">
      <calculatedColumnFormula>IFERROR(VLOOKUP(Externe[[#This Row],[Thema_Bezeichung]],EFs_Externe[],7,FALSE),"")</calculatedColumnFormula>
    </tableColumn>
    <tableColumn id="16" xr3:uid="{0D0F222B-0439-4CD4-965F-D2EA694E8794}" name="Scope 1 Ergebnis location-based [kg CO2e]" totalsRowFunction="sum" dataDxfId="479" totalsRowDxfId="478">
      <calculatedColumnFormula>IFERROR(Externe[[#This Row],[Wert 
(Zahl)]]*Externe[[#This Row],[Scope 1 Emissionsfaktor '[kg CO2e/Einheit']]],"")</calculatedColumnFormula>
    </tableColumn>
    <tableColumn id="17" xr3:uid="{27963A2C-F049-4F62-8603-D4C9EF5217B8}" name="Scope 2 Ergebnis location-based [kg CO2e]" totalsRowFunction="sum" dataDxfId="477" totalsRowDxfId="476">
      <calculatedColumnFormula>IFERROR(Externe[[#This Row],[Wert 
(Zahl)]]*Externe[[#This Row],[Scope 2 Emissionsfaktor '[kg CO2e/Einheit']]],"")</calculatedColumnFormula>
    </tableColumn>
    <tableColumn id="18" xr3:uid="{355AA0E4-22FA-41FE-963F-C283744A9574}" name="Scope 3 Ergebnis location-based [kg CO2e]" totalsRowFunction="sum" dataDxfId="475" totalsRowDxfId="474">
      <calculatedColumnFormula>IFERROR(Externe[[#This Row],[Wert 
(Zahl)]]*Externe[[#This Row],[Scope 3 Emissionsfaktor '[kg CO2e/Einheit']]],"")</calculatedColumnFormula>
    </tableColumn>
  </tableColumns>
  <tableStyleInfo name="Tabelle KBK"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B38DF8C-4F26-43C2-BF5A-16E66190CF13}" name="Warentransporte" displayName="Warentransporte" ref="C217:S238" totalsRowCount="1" headerRowDxfId="473" dataDxfId="472" totalsRowDxfId="471">
  <tableColumns count="17">
    <tableColumn id="20" xr3:uid="{BC7A00D5-ECEF-4A8B-B55A-123180AA7266}" name="Sektor_Thema" dataDxfId="470" totalsRowDxfId="469">
      <calculatedColumnFormula>$C$216</calculatedColumnFormula>
    </tableColumn>
    <tableColumn id="3" xr3:uid="{048463BC-9A23-4782-901A-A1ED2199BE33}" name="Zuordnung Gliederungselement (Dropdown)" totalsRowLabel="Summe" dataDxfId="468" totalsRowDxfId="467"/>
    <tableColumn id="4" xr3:uid="{E2147825-CB75-4B36-AF2C-1079E6AC39E3}" name="Emissionsquelle/Aktivität (Dropdown)" dataDxfId="466" totalsRowDxfId="465"/>
    <tableColumn id="6" xr3:uid="{10962DF3-D912-4C67-988F-0C272C6A3E13}" name="Wert _x000a_(Zahl)" dataDxfId="464" totalsRowDxfId="463"/>
    <tableColumn id="5" xr3:uid="{9613B2BA-60E8-4873-AF63-C9BB5D3D7642}" name="Einheit _x000a_(vorausgefüllt)" dataDxfId="462" totalsRowDxfId="461">
      <calculatedColumnFormula>IFERROR(_xlfn.XLOOKUP(Warentransporte[[#This Row],[Emissionsquelle/Aktivität (Dropdown)]],Emissionsfaktoren!$D$9:$D$201,Emissionsfaktoren!$E$9:$E$201),"")</calculatedColumnFormula>
    </tableColumn>
    <tableColumn id="7" xr3:uid="{1FEDA884-A1FE-4166-B0E1-1479A4B897EC}" name="Datenqualität Wert (Dropdown)" dataDxfId="460" totalsRowDxfId="459"/>
    <tableColumn id="8" xr3:uid="{C5B7226B-7292-4EA4-B584-F3A0C3F6580D}" name="Notiz - Datenquelle _x000a_(Text)" dataDxfId="458" totalsRowDxfId="457"/>
    <tableColumn id="9" xr3:uid="{45581B70-F02E-42E2-82CF-614BDF275F4C}" name="Notiz - Kommentar _x000a_(Text)" dataDxfId="456" totalsRowDxfId="455"/>
    <tableColumn id="24" xr3:uid="{B90280B5-3FA5-4A4F-8870-E53A863665BA}" name="Ergebnis [kg CO2e] (vorausgefüllt)" totalsRowFunction="sum" dataDxfId="454" totalsRowDxfId="453">
      <calculatedColumnFormula>IF(ISBLANK(Warentransporte[[#This Row],[Wert 
(Zahl)]]),"", SUM(Warentransporte[[#This Row],[Scope 1 Ergebnis location-based '[kg CO2e']]:[Scope 3 Ergebnis location-based '[kg CO2e']]]))</calculatedColumnFormula>
    </tableColumn>
    <tableColumn id="2" xr3:uid="{DD9123E8-4F20-4F3E-8232-8CFE64925553}" name="." dataDxfId="452" totalsRowDxfId="451"/>
    <tableColumn id="25" xr3:uid="{A97F6623-2D0E-45BE-8816-AB78C509586B}" name="Thema_Bezeichung" dataDxfId="450" totalsRowDxfId="449">
      <calculatedColumnFormula>IF(ISBLANK(Warentransporte[[#This Row],[Emissionsquelle/Aktivität (Dropdown)]]),"",CONCATENATE(Warentransporte[[#This Row],[Sektor_Thema]]," - ",Warentransporte[[#This Row],[Emissionsquelle/Aktivität (Dropdown)]]))</calculatedColumnFormula>
    </tableColumn>
    <tableColumn id="10" xr3:uid="{9D32C263-B9F4-4769-93A1-974934EDF0E9}" name="Scope 1 Emissionsfaktor [kg CO2e/Einheit]" dataDxfId="448" totalsRowDxfId="447">
      <calculatedColumnFormula>IFERROR(VLOOKUP(Warentransporte[[#This Row],[Thema_Bezeichung]],EFs_Warentransporte[],5,FALSE),"")</calculatedColumnFormula>
    </tableColumn>
    <tableColumn id="11" xr3:uid="{C61FE63E-4332-4B17-8A0C-35BE76ABC196}" name="Scope 2 Emissionsfaktor [kg CO2e/Einheit]" dataDxfId="446" totalsRowDxfId="445">
      <calculatedColumnFormula>IFERROR(VLOOKUP(Warentransporte[[#This Row],[Thema_Bezeichung]],EFs_Warentransporte[],6,FALSE),"")</calculatedColumnFormula>
    </tableColumn>
    <tableColumn id="12" xr3:uid="{8F3E5163-E011-4AF2-9E48-F0043B7CB94B}" name="Scope 3 Emissionsfaktor [kg CO2e/Einheit]" dataDxfId="444" totalsRowDxfId="443">
      <calculatedColumnFormula>IFERROR(VLOOKUP(Warentransporte[[#This Row],[Thema_Bezeichung]],EFs_Warentransporte[],7,FALSE),"")</calculatedColumnFormula>
    </tableColumn>
    <tableColumn id="16" xr3:uid="{1E42D48A-945F-462F-B1D9-3BA0465D47F0}" name="Scope 1 Ergebnis location-based [kg CO2e]" totalsRowFunction="sum" dataDxfId="442" totalsRowDxfId="441">
      <calculatedColumnFormula>IFERROR(Warentransporte[[#This Row],[Wert 
(Zahl)]]*Warentransporte[[#This Row],[Scope 1 Emissionsfaktor '[kg CO2e/Einheit']]],"")</calculatedColumnFormula>
    </tableColumn>
    <tableColumn id="17" xr3:uid="{BBE80AFA-EB4B-4E4C-A7CC-284FF5057426}" name="Scope 2 Ergebnis location-based [kg CO2e]" totalsRowFunction="sum" dataDxfId="440" totalsRowDxfId="439">
      <calculatedColumnFormula>IFERROR(Warentransporte[[#This Row],[Wert 
(Zahl)]]*Warentransporte[[#This Row],[Scope 2 Emissionsfaktor '[kg CO2e/Einheit']]],"")</calculatedColumnFormula>
    </tableColumn>
    <tableColumn id="18" xr3:uid="{DFE0FAC5-885D-46EF-9CD0-F30CAA2BAB76}" name="Scope 3 Ergebnis location-based [kg CO2e]" totalsRowFunction="sum" dataDxfId="438" totalsRowDxfId="437">
      <calculatedColumnFormula>IFERROR(Warentransporte[[#This Row],[Wert 
(Zahl)]]*Warentransporte[[#This Row],[Scope 3 Emissionsfaktor '[kg CO2e/Einheit']]],"")</calculatedColumnFormula>
    </tableColumn>
  </tableColumns>
  <tableStyleInfo name="Tabelle KBK"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table" Target="../tables/table32.xml"/><Relationship Id="rId4" Type="http://schemas.openxmlformats.org/officeDocument/2006/relationships/table" Target="../tables/table3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3.xml"/><Relationship Id="rId18" Type="http://schemas.openxmlformats.org/officeDocument/2006/relationships/table" Target="../tables/table8.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table" Target="../tables/table2.xml"/><Relationship Id="rId17" Type="http://schemas.openxmlformats.org/officeDocument/2006/relationships/table" Target="../tables/table7.xml"/><Relationship Id="rId2" Type="http://schemas.openxmlformats.org/officeDocument/2006/relationships/drawing" Target="../drawings/drawing2.xml"/><Relationship Id="rId16" Type="http://schemas.openxmlformats.org/officeDocument/2006/relationships/table" Target="../tables/table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table" Target="../tables/table5.xml"/><Relationship Id="rId10" Type="http://schemas.openxmlformats.org/officeDocument/2006/relationships/ctrlProp" Target="../ctrlProps/ctrlProp7.xml"/><Relationship Id="rId19" Type="http://schemas.openxmlformats.org/officeDocument/2006/relationships/table" Target="../tables/table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ctrlProp" Target="../ctrlProps/ctrlProp9.xml"/><Relationship Id="rId7" Type="http://schemas.openxmlformats.org/officeDocument/2006/relationships/table" Target="../tables/table10.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12.xml"/><Relationship Id="rId5" Type="http://schemas.openxmlformats.org/officeDocument/2006/relationships/ctrlProp" Target="../ctrlProps/ctrlProp11.xml"/><Relationship Id="rId10" Type="http://schemas.openxmlformats.org/officeDocument/2006/relationships/table" Target="../tables/table13.xml"/><Relationship Id="rId4" Type="http://schemas.openxmlformats.org/officeDocument/2006/relationships/ctrlProp" Target="../ctrlProps/ctrlProp10.xml"/><Relationship Id="rId9"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11" Type="http://schemas.openxmlformats.org/officeDocument/2006/relationships/table" Target="../tables/table17.xml"/><Relationship Id="rId5" Type="http://schemas.openxmlformats.org/officeDocument/2006/relationships/ctrlProp" Target="../ctrlProps/ctrlProp14.xml"/><Relationship Id="rId10" Type="http://schemas.openxmlformats.org/officeDocument/2006/relationships/table" Target="../tables/table16.xml"/><Relationship Id="rId4" Type="http://schemas.openxmlformats.org/officeDocument/2006/relationships/ctrlProp" Target="../ctrlProps/ctrlProp13.xml"/><Relationship Id="rId9" Type="http://schemas.openxmlformats.org/officeDocument/2006/relationships/table" Target="../tables/table1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24.xml"/><Relationship Id="rId13" Type="http://schemas.openxmlformats.org/officeDocument/2006/relationships/table" Target="../tables/table29.xml"/><Relationship Id="rId3" Type="http://schemas.openxmlformats.org/officeDocument/2006/relationships/table" Target="../tables/table19.xml"/><Relationship Id="rId7" Type="http://schemas.openxmlformats.org/officeDocument/2006/relationships/table" Target="../tables/table23.xml"/><Relationship Id="rId12" Type="http://schemas.openxmlformats.org/officeDocument/2006/relationships/table" Target="../tables/table28.xml"/><Relationship Id="rId2" Type="http://schemas.openxmlformats.org/officeDocument/2006/relationships/table" Target="../tables/table18.xml"/><Relationship Id="rId1" Type="http://schemas.openxmlformats.org/officeDocument/2006/relationships/printerSettings" Target="../printerSettings/printerSettings7.bin"/><Relationship Id="rId6" Type="http://schemas.openxmlformats.org/officeDocument/2006/relationships/table" Target="../tables/table22.xml"/><Relationship Id="rId11" Type="http://schemas.openxmlformats.org/officeDocument/2006/relationships/table" Target="../tables/table27.xml"/><Relationship Id="rId5" Type="http://schemas.openxmlformats.org/officeDocument/2006/relationships/table" Target="../tables/table21.xml"/><Relationship Id="rId10" Type="http://schemas.openxmlformats.org/officeDocument/2006/relationships/table" Target="../tables/table26.xml"/><Relationship Id="rId4" Type="http://schemas.openxmlformats.org/officeDocument/2006/relationships/table" Target="../tables/table20.xml"/><Relationship Id="rId9" Type="http://schemas.openxmlformats.org/officeDocument/2006/relationships/table" Target="../tables/table2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table" Target="../tables/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1F06-2643-4055-8D4E-182B88F6D3F3}">
  <sheetPr>
    <tabColor theme="9"/>
  </sheetPr>
  <dimension ref="B4:J63"/>
  <sheetViews>
    <sheetView showGridLines="0" tabSelected="1" zoomScaleNormal="100" workbookViewId="0"/>
  </sheetViews>
  <sheetFormatPr baseColWidth="10" defaultRowHeight="14.5" x14ac:dyDescent="0.35"/>
  <cols>
    <col min="1" max="1" width="8.7265625" customWidth="1"/>
    <col min="2" max="2" width="3.7265625" customWidth="1"/>
    <col min="3" max="4" width="20.1796875" customWidth="1"/>
    <col min="5" max="5" width="22.453125" customWidth="1"/>
    <col min="6" max="7" width="24.453125" customWidth="1"/>
    <col min="8" max="8" width="9.453125" customWidth="1"/>
    <col min="9" max="9" width="6.81640625" customWidth="1"/>
  </cols>
  <sheetData>
    <row r="4" spans="2:8" ht="20.5" x14ac:dyDescent="0.55000000000000004">
      <c r="B4" s="377" t="s">
        <v>352</v>
      </c>
      <c r="C4" s="377"/>
      <c r="D4" s="377"/>
      <c r="E4" s="377"/>
      <c r="F4" s="377"/>
      <c r="G4" s="377"/>
      <c r="H4" s="377"/>
    </row>
    <row r="6" spans="2:8" ht="21.75" customHeight="1" x14ac:dyDescent="0.35">
      <c r="B6" s="395" t="s">
        <v>120</v>
      </c>
      <c r="C6" s="396"/>
      <c r="D6" s="396"/>
      <c r="E6" s="396"/>
      <c r="F6" s="396"/>
      <c r="G6" s="396"/>
      <c r="H6" s="397"/>
    </row>
    <row r="7" spans="2:8" ht="90.75" customHeight="1" x14ac:dyDescent="0.35">
      <c r="B7" s="398" t="s">
        <v>478</v>
      </c>
      <c r="C7" s="399"/>
      <c r="D7" s="399"/>
      <c r="E7" s="399"/>
      <c r="F7" s="399"/>
      <c r="G7" s="399"/>
      <c r="H7" s="400"/>
    </row>
    <row r="8" spans="2:8" ht="22.5" customHeight="1" x14ac:dyDescent="0.35"/>
    <row r="9" spans="2:8" ht="21.75" customHeight="1" x14ac:dyDescent="0.35">
      <c r="B9" s="395" t="s">
        <v>268</v>
      </c>
      <c r="C9" s="396"/>
      <c r="D9" s="396"/>
      <c r="E9" s="396"/>
      <c r="F9" s="396"/>
      <c r="G9" s="396"/>
      <c r="H9" s="397"/>
    </row>
    <row r="10" spans="2:8" ht="68.25" customHeight="1" x14ac:dyDescent="0.35">
      <c r="B10" s="393" t="s">
        <v>411</v>
      </c>
      <c r="C10" s="371"/>
      <c r="D10" s="371"/>
      <c r="E10" s="371"/>
      <c r="F10" s="371"/>
      <c r="G10" s="371"/>
      <c r="H10" s="394"/>
    </row>
    <row r="11" spans="2:8" ht="18" customHeight="1" x14ac:dyDescent="0.35">
      <c r="B11" s="390" t="s">
        <v>345</v>
      </c>
      <c r="C11" s="391"/>
      <c r="D11" s="391"/>
      <c r="E11" s="391"/>
      <c r="F11" s="391"/>
      <c r="G11" s="391"/>
      <c r="H11" s="392"/>
    </row>
    <row r="12" spans="2:8" ht="51.75" customHeight="1" x14ac:dyDescent="0.35">
      <c r="B12" s="384" t="s">
        <v>412</v>
      </c>
      <c r="C12" s="385"/>
      <c r="D12" s="385"/>
      <c r="E12" s="385"/>
      <c r="F12" s="385"/>
      <c r="G12" s="385"/>
      <c r="H12" s="386"/>
    </row>
    <row r="13" spans="2:8" ht="18" customHeight="1" x14ac:dyDescent="0.35">
      <c r="B13" s="387" t="s">
        <v>348</v>
      </c>
      <c r="C13" s="388"/>
      <c r="D13" s="388"/>
      <c r="E13" s="388"/>
      <c r="F13" s="388"/>
      <c r="G13" s="388"/>
      <c r="H13" s="389"/>
    </row>
    <row r="14" spans="2:8" ht="51.75" customHeight="1" x14ac:dyDescent="0.35">
      <c r="B14" s="384" t="s">
        <v>355</v>
      </c>
      <c r="C14" s="385"/>
      <c r="D14" s="385"/>
      <c r="E14" s="385"/>
      <c r="F14" s="385"/>
      <c r="G14" s="385"/>
      <c r="H14" s="386"/>
    </row>
    <row r="15" spans="2:8" ht="18" customHeight="1" x14ac:dyDescent="0.35">
      <c r="B15" s="381" t="s">
        <v>350</v>
      </c>
      <c r="C15" s="382"/>
      <c r="D15" s="382"/>
      <c r="E15" s="382"/>
      <c r="F15" s="382"/>
      <c r="G15" s="382"/>
      <c r="H15" s="383"/>
    </row>
    <row r="16" spans="2:8" ht="84" customHeight="1" x14ac:dyDescent="0.35">
      <c r="B16" s="378" t="s">
        <v>356</v>
      </c>
      <c r="C16" s="379"/>
      <c r="D16" s="379"/>
      <c r="E16" s="379"/>
      <c r="F16" s="379"/>
      <c r="G16" s="379"/>
      <c r="H16" s="380"/>
    </row>
    <row r="17" spans="2:10" ht="22.5" customHeight="1" x14ac:dyDescent="0.35">
      <c r="B17" s="10"/>
    </row>
    <row r="18" spans="2:10" ht="21.75" customHeight="1" x14ac:dyDescent="0.35">
      <c r="B18" s="363" t="s">
        <v>198</v>
      </c>
      <c r="C18" s="364"/>
      <c r="D18" s="364"/>
      <c r="E18" s="364"/>
      <c r="F18" s="364"/>
      <c r="G18" s="364"/>
      <c r="H18" s="365"/>
    </row>
    <row r="19" spans="2:10" ht="4.5" customHeight="1" x14ac:dyDescent="0.35">
      <c r="B19" s="62"/>
      <c r="C19" s="209"/>
      <c r="D19" s="209"/>
      <c r="E19" s="209"/>
      <c r="F19" s="209"/>
      <c r="G19" s="209"/>
      <c r="H19" s="73"/>
      <c r="J19" s="15"/>
    </row>
    <row r="20" spans="2:10" s="15" customFormat="1" ht="18.75" customHeight="1" x14ac:dyDescent="0.35">
      <c r="B20" s="63" t="s">
        <v>294</v>
      </c>
      <c r="C20" s="207"/>
      <c r="D20" s="207"/>
      <c r="E20" s="207"/>
      <c r="F20" s="207"/>
      <c r="G20" s="207"/>
      <c r="H20" s="74"/>
    </row>
    <row r="21" spans="2:10" s="15" customFormat="1" ht="24" customHeight="1" x14ac:dyDescent="0.35">
      <c r="B21" s="69" t="s">
        <v>353</v>
      </c>
      <c r="C21" s="207"/>
      <c r="D21" s="207"/>
      <c r="E21" s="207"/>
      <c r="F21" s="207"/>
      <c r="G21" s="207"/>
      <c r="H21" s="74"/>
    </row>
    <row r="22" spans="2:10" s="60" customFormat="1" ht="18" customHeight="1" x14ac:dyDescent="0.35">
      <c r="B22" s="66"/>
      <c r="C22" s="64"/>
      <c r="D22" s="216" t="s">
        <v>338</v>
      </c>
      <c r="H22" s="75"/>
    </row>
    <row r="23" spans="2:10" s="60" customFormat="1" ht="3" customHeight="1" x14ac:dyDescent="0.35">
      <c r="B23" s="66"/>
      <c r="D23" s="216"/>
      <c r="H23" s="75"/>
    </row>
    <row r="24" spans="2:10" s="60" customFormat="1" ht="18" customHeight="1" x14ac:dyDescent="0.35">
      <c r="B24" s="66"/>
      <c r="C24" s="192"/>
      <c r="D24" s="216" t="s">
        <v>343</v>
      </c>
      <c r="H24" s="75"/>
    </row>
    <row r="25" spans="2:10" s="60" customFormat="1" ht="3" customHeight="1" x14ac:dyDescent="0.35">
      <c r="B25" s="66"/>
      <c r="D25" s="216"/>
      <c r="H25" s="75"/>
    </row>
    <row r="26" spans="2:10" s="60" customFormat="1" ht="18" customHeight="1" x14ac:dyDescent="0.35">
      <c r="B26" s="66"/>
      <c r="C26" s="193"/>
      <c r="D26" s="216" t="s">
        <v>346</v>
      </c>
      <c r="H26" s="75"/>
    </row>
    <row r="27" spans="2:10" s="60" customFormat="1" ht="3" customHeight="1" x14ac:dyDescent="0.35">
      <c r="B27" s="66"/>
      <c r="D27" s="216"/>
      <c r="H27" s="75"/>
    </row>
    <row r="28" spans="2:10" s="60" customFormat="1" ht="18" customHeight="1" x14ac:dyDescent="0.35">
      <c r="B28" s="66"/>
      <c r="C28" s="194"/>
      <c r="D28" s="216" t="s">
        <v>349</v>
      </c>
      <c r="H28" s="75"/>
    </row>
    <row r="29" spans="2:10" s="60" customFormat="1" ht="3" customHeight="1" x14ac:dyDescent="0.35">
      <c r="B29" s="66"/>
      <c r="D29" s="216"/>
      <c r="H29" s="75"/>
    </row>
    <row r="30" spans="2:10" s="60" customFormat="1" ht="18" customHeight="1" x14ac:dyDescent="0.35">
      <c r="B30" s="66"/>
      <c r="C30" s="195"/>
      <c r="D30" s="216" t="s">
        <v>199</v>
      </c>
      <c r="H30" s="75"/>
    </row>
    <row r="31" spans="2:10" s="60" customFormat="1" ht="3" customHeight="1" x14ac:dyDescent="0.35">
      <c r="B31" s="66"/>
      <c r="D31" s="216"/>
      <c r="H31" s="75"/>
    </row>
    <row r="32" spans="2:10" s="60" customFormat="1" ht="18" customHeight="1" x14ac:dyDescent="0.35">
      <c r="B32" s="66"/>
      <c r="C32" s="65"/>
      <c r="D32" s="216" t="s">
        <v>292</v>
      </c>
      <c r="H32" s="75"/>
    </row>
    <row r="33" spans="2:8" s="60" customFormat="1" ht="3" customHeight="1" x14ac:dyDescent="0.35">
      <c r="B33" s="66"/>
      <c r="C33" s="70"/>
      <c r="D33" s="216"/>
      <c r="H33" s="75"/>
    </row>
    <row r="34" spans="2:8" s="60" customFormat="1" ht="18" customHeight="1" x14ac:dyDescent="0.35">
      <c r="B34" s="66"/>
      <c r="C34" s="196"/>
      <c r="D34" s="216" t="s">
        <v>293</v>
      </c>
      <c r="H34" s="75"/>
    </row>
    <row r="35" spans="2:8" ht="15" customHeight="1" x14ac:dyDescent="0.35">
      <c r="B35" s="67"/>
      <c r="H35" s="56"/>
    </row>
    <row r="36" spans="2:8" ht="24" customHeight="1" x14ac:dyDescent="0.35">
      <c r="B36" s="368" t="s">
        <v>296</v>
      </c>
      <c r="C36" s="369"/>
      <c r="D36" s="369"/>
      <c r="E36" s="369"/>
      <c r="F36" s="369"/>
      <c r="G36" s="369"/>
      <c r="H36" s="370"/>
    </row>
    <row r="37" spans="2:8" ht="45.75" customHeight="1" x14ac:dyDescent="0.35">
      <c r="B37" s="76"/>
      <c r="C37" s="208" t="s">
        <v>344</v>
      </c>
      <c r="D37" s="216" t="s">
        <v>295</v>
      </c>
      <c r="E37" s="217"/>
      <c r="F37" s="217"/>
      <c r="G37" s="217"/>
      <c r="H37" s="218"/>
    </row>
    <row r="38" spans="2:8" ht="12" customHeight="1" x14ac:dyDescent="0.35">
      <c r="B38" s="67"/>
      <c r="D38" s="217"/>
      <c r="E38" s="217"/>
      <c r="F38" s="217"/>
      <c r="G38" s="217"/>
      <c r="H38" s="218"/>
    </row>
    <row r="39" spans="2:8" ht="15" customHeight="1" x14ac:dyDescent="0.35">
      <c r="B39" s="68"/>
      <c r="C39" s="71"/>
      <c r="D39" s="217" t="s">
        <v>297</v>
      </c>
      <c r="E39" s="217"/>
      <c r="F39" s="217"/>
      <c r="G39" s="217"/>
      <c r="H39" s="218"/>
    </row>
    <row r="40" spans="2:8" ht="12" customHeight="1" x14ac:dyDescent="0.35">
      <c r="B40" s="68"/>
      <c r="C40" s="169"/>
      <c r="D40" s="217"/>
      <c r="E40" s="217"/>
      <c r="F40" s="217"/>
      <c r="G40" s="217"/>
      <c r="H40" s="218"/>
    </row>
    <row r="41" spans="2:8" s="9" customFormat="1" ht="29.25" customHeight="1" x14ac:dyDescent="0.35">
      <c r="B41" s="215"/>
      <c r="C41" s="273" t="s">
        <v>354</v>
      </c>
      <c r="D41" s="375" t="s">
        <v>357</v>
      </c>
      <c r="E41" s="375"/>
      <c r="F41" s="375"/>
      <c r="G41" s="375"/>
      <c r="H41" s="376"/>
    </row>
    <row r="42" spans="2:8" s="9" customFormat="1" ht="15" customHeight="1" x14ac:dyDescent="0.35">
      <c r="B42" s="215"/>
      <c r="C42" s="307"/>
      <c r="D42" s="305"/>
      <c r="E42" s="305"/>
      <c r="F42" s="305"/>
      <c r="G42" s="305"/>
      <c r="H42" s="306"/>
    </row>
    <row r="43" spans="2:8" s="9" customFormat="1" ht="24" customHeight="1" x14ac:dyDescent="0.35">
      <c r="B43" s="308" t="s">
        <v>419</v>
      </c>
      <c r="C43" s="307"/>
      <c r="D43" s="305"/>
      <c r="E43" s="305"/>
      <c r="F43" s="305"/>
      <c r="G43" s="305"/>
      <c r="H43" s="306"/>
    </row>
    <row r="44" spans="2:8" ht="36" customHeight="1" x14ac:dyDescent="0.35">
      <c r="B44" s="84"/>
      <c r="C44" s="366" t="s">
        <v>420</v>
      </c>
      <c r="D44" s="366"/>
      <c r="E44" s="366"/>
      <c r="F44" s="366"/>
      <c r="G44" s="366"/>
      <c r="H44" s="367"/>
    </row>
    <row r="45" spans="2:8" ht="22.5" customHeight="1" x14ac:dyDescent="0.35">
      <c r="B45" s="72"/>
      <c r="C45" s="72"/>
      <c r="D45" s="72"/>
      <c r="E45" s="72"/>
      <c r="F45" s="72"/>
      <c r="G45" s="72"/>
      <c r="H45" s="72"/>
    </row>
    <row r="46" spans="2:8" ht="21.75" customHeight="1" x14ac:dyDescent="0.35">
      <c r="B46" s="210" t="s">
        <v>298</v>
      </c>
      <c r="C46" s="211"/>
      <c r="D46" s="211"/>
      <c r="E46" s="211"/>
      <c r="F46" s="211" t="s">
        <v>309</v>
      </c>
      <c r="G46" s="211"/>
      <c r="H46" s="212"/>
    </row>
    <row r="47" spans="2:8" s="61" customFormat="1" ht="23.25" customHeight="1" x14ac:dyDescent="0.35">
      <c r="B47" s="294" t="s">
        <v>299</v>
      </c>
      <c r="C47" s="372" t="s">
        <v>305</v>
      </c>
      <c r="D47" s="372"/>
      <c r="E47" s="372"/>
      <c r="F47" s="295" t="s">
        <v>142</v>
      </c>
      <c r="G47" s="296"/>
      <c r="H47" s="297"/>
    </row>
    <row r="48" spans="2:8" s="61" customFormat="1" ht="23.25" customHeight="1" x14ac:dyDescent="0.35">
      <c r="B48" s="82" t="s">
        <v>300</v>
      </c>
      <c r="C48" s="371" t="s">
        <v>391</v>
      </c>
      <c r="D48" s="371"/>
      <c r="E48" s="371"/>
      <c r="F48" s="373" t="s">
        <v>208</v>
      </c>
      <c r="G48" s="373"/>
      <c r="H48" s="213"/>
    </row>
    <row r="49" spans="2:8" s="61" customFormat="1" ht="23.25" customHeight="1" x14ac:dyDescent="0.35">
      <c r="B49" s="82" t="s">
        <v>301</v>
      </c>
      <c r="C49" s="371" t="s">
        <v>347</v>
      </c>
      <c r="D49" s="371"/>
      <c r="E49" s="371"/>
      <c r="F49" s="373" t="s">
        <v>346</v>
      </c>
      <c r="G49" s="373"/>
      <c r="H49" s="213"/>
    </row>
    <row r="50" spans="2:8" s="61" customFormat="1" ht="36" customHeight="1" x14ac:dyDescent="0.35">
      <c r="B50" s="82" t="s">
        <v>302</v>
      </c>
      <c r="C50" s="371" t="s">
        <v>351</v>
      </c>
      <c r="D50" s="371"/>
      <c r="E50" s="371"/>
      <c r="F50" s="373" t="s">
        <v>349</v>
      </c>
      <c r="G50" s="373"/>
      <c r="H50" s="213"/>
    </row>
    <row r="51" spans="2:8" s="61" customFormat="1" ht="23.25" customHeight="1" x14ac:dyDescent="0.35">
      <c r="B51" s="82" t="s">
        <v>303</v>
      </c>
      <c r="C51" s="371" t="s">
        <v>392</v>
      </c>
      <c r="D51" s="371"/>
      <c r="E51" s="371"/>
      <c r="F51" s="373" t="s">
        <v>199</v>
      </c>
      <c r="G51" s="373"/>
      <c r="H51" s="213"/>
    </row>
    <row r="52" spans="2:8" s="61" customFormat="1" ht="36" customHeight="1" x14ac:dyDescent="0.35">
      <c r="B52" s="83" t="s">
        <v>304</v>
      </c>
      <c r="C52" s="366" t="s">
        <v>390</v>
      </c>
      <c r="D52" s="366"/>
      <c r="E52" s="366"/>
      <c r="F52" s="374" t="s">
        <v>292</v>
      </c>
      <c r="G52" s="374"/>
      <c r="H52" s="214"/>
    </row>
    <row r="53" spans="2:8" ht="22.5" customHeight="1" x14ac:dyDescent="0.35"/>
    <row r="54" spans="2:8" ht="21.75" customHeight="1" x14ac:dyDescent="0.35">
      <c r="B54" s="363" t="s">
        <v>121</v>
      </c>
      <c r="C54" s="364"/>
      <c r="D54" s="364"/>
      <c r="E54" s="364"/>
      <c r="F54" s="364"/>
      <c r="G54" s="364"/>
      <c r="H54" s="365"/>
    </row>
    <row r="55" spans="2:8" ht="21.75" customHeight="1" x14ac:dyDescent="0.35">
      <c r="B55" s="78"/>
      <c r="C55" s="202" t="s">
        <v>306</v>
      </c>
      <c r="D55" s="202" t="s">
        <v>307</v>
      </c>
      <c r="E55" s="202" t="s">
        <v>308</v>
      </c>
      <c r="F55" s="203"/>
      <c r="G55" s="203"/>
      <c r="H55" s="79"/>
    </row>
    <row r="56" spans="2:8" ht="22.5" customHeight="1" x14ac:dyDescent="0.35">
      <c r="B56" s="69"/>
      <c r="C56" s="204" t="s">
        <v>358</v>
      </c>
      <c r="D56" s="205">
        <v>45148</v>
      </c>
      <c r="E56" s="369" t="s">
        <v>140</v>
      </c>
      <c r="F56" s="369"/>
      <c r="G56" s="369"/>
      <c r="H56" s="370"/>
    </row>
    <row r="57" spans="2:8" ht="22.5" customHeight="1" x14ac:dyDescent="0.35">
      <c r="B57" s="69"/>
      <c r="C57" s="204" t="s">
        <v>427</v>
      </c>
      <c r="D57" s="205">
        <v>45320</v>
      </c>
      <c r="E57" s="487" t="s">
        <v>572</v>
      </c>
      <c r="F57" s="206"/>
      <c r="G57" s="206"/>
      <c r="H57" s="99"/>
    </row>
    <row r="58" spans="2:8" ht="22.5" customHeight="1" x14ac:dyDescent="0.35">
      <c r="B58" s="69"/>
      <c r="C58" s="204"/>
      <c r="D58" s="205"/>
      <c r="E58" s="206"/>
      <c r="F58" s="206"/>
      <c r="G58" s="206"/>
      <c r="H58" s="99"/>
    </row>
    <row r="59" spans="2:8" ht="22.5" customHeight="1" x14ac:dyDescent="0.35">
      <c r="B59" s="69"/>
      <c r="C59" s="204"/>
      <c r="D59" s="205"/>
      <c r="E59" s="206"/>
      <c r="F59" s="206"/>
      <c r="G59" s="206"/>
      <c r="H59" s="99"/>
    </row>
    <row r="60" spans="2:8" ht="22.5" customHeight="1" x14ac:dyDescent="0.35">
      <c r="B60" s="69"/>
      <c r="C60" s="204"/>
      <c r="D60" s="205"/>
      <c r="E60" s="206"/>
      <c r="F60" s="206"/>
      <c r="G60" s="206"/>
      <c r="H60" s="99"/>
    </row>
    <row r="61" spans="2:8" ht="22.5" customHeight="1" x14ac:dyDescent="0.35">
      <c r="B61" s="77"/>
      <c r="C61" s="80"/>
      <c r="D61" s="81"/>
      <c r="E61" s="97"/>
      <c r="F61" s="97"/>
      <c r="G61" s="97"/>
      <c r="H61" s="98"/>
    </row>
    <row r="62" spans="2:8" ht="22.5" customHeight="1" x14ac:dyDescent="0.35"/>
    <row r="63" spans="2:8" s="15" customFormat="1" ht="49.5" customHeight="1" x14ac:dyDescent="0.35">
      <c r="B63" s="360" t="s">
        <v>426</v>
      </c>
      <c r="C63" s="361"/>
      <c r="D63" s="361"/>
      <c r="E63" s="361"/>
      <c r="F63" s="361"/>
      <c r="G63" s="361"/>
      <c r="H63" s="362"/>
    </row>
  </sheetData>
  <sheetProtection algorithmName="SHA-512" hashValue="mdCcRz71+L6F7f1NGKbCoJZxA/BPRM83eDFeoojcFX00ddFbLOaUkzTYlIzwHi9wJF4Q0zDpW1JUDl6I9ti9pA==" saltValue="pPATasJriAnskE20wb0fvQ==" spinCount="100000" sheet="1" objects="1" scenarios="1"/>
  <mergeCells count="29">
    <mergeCell ref="D41:H41"/>
    <mergeCell ref="B4:H4"/>
    <mergeCell ref="B18:H18"/>
    <mergeCell ref="B16:H16"/>
    <mergeCell ref="B15:H15"/>
    <mergeCell ref="B14:H14"/>
    <mergeCell ref="B13:H13"/>
    <mergeCell ref="B12:H12"/>
    <mergeCell ref="B11:H11"/>
    <mergeCell ref="B10:H10"/>
    <mergeCell ref="B9:H9"/>
    <mergeCell ref="B7:H7"/>
    <mergeCell ref="B6:H6"/>
    <mergeCell ref="B63:H63"/>
    <mergeCell ref="B54:H54"/>
    <mergeCell ref="C44:H44"/>
    <mergeCell ref="B36:H36"/>
    <mergeCell ref="C48:E48"/>
    <mergeCell ref="C47:E47"/>
    <mergeCell ref="E56:H56"/>
    <mergeCell ref="C52:E52"/>
    <mergeCell ref="C51:E51"/>
    <mergeCell ref="C50:E50"/>
    <mergeCell ref="C49:E49"/>
    <mergeCell ref="F49:G49"/>
    <mergeCell ref="F50:G50"/>
    <mergeCell ref="F51:G51"/>
    <mergeCell ref="F48:G48"/>
    <mergeCell ref="F52:G52"/>
  </mergeCells>
  <hyperlinks>
    <hyperlink ref="F47" location="Stammdaten!A1" display="Stammdaten" xr:uid="{3D15E537-97DA-40FA-993E-3296C942AB0F}"/>
    <hyperlink ref="F48" location="'Gliederung der Bilanz'!A1" display="Gliederung der Bilanz" xr:uid="{958298E8-82E7-4C5C-8005-452B0D36F875}"/>
    <hyperlink ref="F49" location="'Datenerfassung Kernbilanz'!A1" display="Datenerfassung Kernbilanz" xr:uid="{D1897671-07CB-472B-B1EB-F437D67C6C0F}"/>
    <hyperlink ref="F50" location="'Datenerfassung Erweit. Bilanz'!A1" display="Datenerfassung Erweit. Bilanz" xr:uid="{19B6AB30-8BC4-467D-86D8-1F62E635D1F0}"/>
    <hyperlink ref="F51" location="'Datenerfassung Beyond Carbon'!A1" display="Datenerfassung Beyond Carbon" xr:uid="{8C24DC0D-95B7-48E5-A013-27A3545893D9}"/>
    <hyperlink ref="F52" location="Ergebnisse!A1" display="Ergebnisse" xr:uid="{C0CF77A3-E3B2-41CB-B1A2-6E45FE246318}"/>
    <hyperlink ref="F50:G50" location="'Daten KlimaBilanzKultur+'!A1" display="Datenerfassung KlimaBilanzKultur+" xr:uid="{42024CAA-1A17-4445-93F8-8608CD6D30CE}"/>
    <hyperlink ref="F49:G49" location="'Daten KlimaBilanzKultur'!A1" display="Datenerfassung KlimaBilanzKultur" xr:uid="{6F2A020E-5CDB-4A76-9909-B1C813915B85}"/>
    <hyperlink ref="E57" location="EF_Änderungen!A1" display="Aktualisierung der Emissionsfaktoren für Bilanzjahr 2023 (CO2-Kulturrechner 2024)" xr:uid="{5146FA5A-66C4-471E-9AD5-13EAE26F996F}"/>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0766-C099-46F9-A37B-3BE480527A45}">
  <sheetPr>
    <tabColor rgb="FFFF0000"/>
  </sheetPr>
  <dimension ref="A2:N87"/>
  <sheetViews>
    <sheetView topLeftCell="A15" zoomScale="85" zoomScaleNormal="85" workbookViewId="0">
      <selection activeCell="A38" sqref="A38"/>
    </sheetView>
  </sheetViews>
  <sheetFormatPr baseColWidth="10" defaultRowHeight="14.5" x14ac:dyDescent="0.35"/>
  <cols>
    <col min="1" max="1" width="8.54296875" customWidth="1"/>
    <col min="2" max="2" width="44.7265625" bestFit="1" customWidth="1"/>
    <col min="3" max="3" width="33.1796875" customWidth="1"/>
    <col min="4" max="4" width="63.81640625" bestFit="1" customWidth="1"/>
    <col min="5" max="5" width="34.453125" bestFit="1" customWidth="1"/>
    <col min="6" max="6" width="44.26953125" bestFit="1" customWidth="1"/>
    <col min="7" max="7" width="26.453125" bestFit="1" customWidth="1"/>
    <col min="8" max="8" width="24" bestFit="1" customWidth="1"/>
    <col min="9" max="11" width="19.7265625" customWidth="1"/>
    <col min="12" max="12" width="21.1796875" bestFit="1" customWidth="1"/>
    <col min="13" max="13" width="24.1796875" bestFit="1" customWidth="1"/>
    <col min="14" max="14" width="29" customWidth="1"/>
    <col min="15" max="15" width="25.1796875" customWidth="1"/>
  </cols>
  <sheetData>
    <row r="2" spans="2:14" ht="18.5" x14ac:dyDescent="0.45">
      <c r="B2" s="5" t="s">
        <v>48</v>
      </c>
      <c r="D2" s="5" t="s">
        <v>148</v>
      </c>
      <c r="N2" s="26" t="s">
        <v>146</v>
      </c>
    </row>
    <row r="3" spans="2:14" x14ac:dyDescent="0.35">
      <c r="B3" s="2" t="s">
        <v>228</v>
      </c>
      <c r="C3" s="2"/>
      <c r="D3" s="4" t="s">
        <v>0</v>
      </c>
      <c r="E3" s="4" t="s">
        <v>213</v>
      </c>
      <c r="F3" s="4" t="s">
        <v>17</v>
      </c>
      <c r="G3" s="4" t="s">
        <v>51</v>
      </c>
      <c r="H3" s="4" t="s">
        <v>79</v>
      </c>
      <c r="I3" s="4" t="s">
        <v>136</v>
      </c>
      <c r="J3" s="4" t="s">
        <v>137</v>
      </c>
      <c r="K3" s="4" t="s">
        <v>138</v>
      </c>
      <c r="L3" s="4" t="s">
        <v>139</v>
      </c>
      <c r="N3" s="21" t="s">
        <v>147</v>
      </c>
    </row>
    <row r="4" spans="2:14" x14ac:dyDescent="0.35">
      <c r="B4" t="s">
        <v>49</v>
      </c>
      <c r="D4" t="s">
        <v>14</v>
      </c>
      <c r="E4" s="8" t="s">
        <v>368</v>
      </c>
      <c r="F4" t="s">
        <v>73</v>
      </c>
      <c r="G4" s="8" t="str">
        <f t="shared" ref="G4:G15" si="0">CONCATENATE(F4,": ",D4)</f>
        <v>Liegenschaften: Wärme</v>
      </c>
      <c r="H4" t="s">
        <v>14</v>
      </c>
      <c r="I4" s="8" t="s">
        <v>97</v>
      </c>
      <c r="J4" s="8" t="s">
        <v>98</v>
      </c>
      <c r="K4" s="8" t="s">
        <v>99</v>
      </c>
      <c r="L4" s="8" t="s">
        <v>140</v>
      </c>
      <c r="N4" s="22" t="s">
        <v>14</v>
      </c>
    </row>
    <row r="5" spans="2:14" x14ac:dyDescent="0.35">
      <c r="B5" t="s">
        <v>44</v>
      </c>
      <c r="D5" t="s">
        <v>18</v>
      </c>
      <c r="E5" s="8" t="s">
        <v>368</v>
      </c>
      <c r="F5" t="s">
        <v>73</v>
      </c>
      <c r="G5" s="8" t="str">
        <f t="shared" si="0"/>
        <v>Liegenschaften: Strom</v>
      </c>
      <c r="H5" t="s">
        <v>18</v>
      </c>
      <c r="I5" s="8" t="s">
        <v>97</v>
      </c>
      <c r="J5" s="8" t="s">
        <v>97</v>
      </c>
      <c r="K5" s="8" t="s">
        <v>99</v>
      </c>
      <c r="L5" s="8" t="s">
        <v>140</v>
      </c>
      <c r="N5" s="21" t="s">
        <v>18</v>
      </c>
    </row>
    <row r="6" spans="2:14" x14ac:dyDescent="0.35">
      <c r="B6" t="s">
        <v>45</v>
      </c>
      <c r="D6" t="s">
        <v>16</v>
      </c>
      <c r="E6" s="8" t="s">
        <v>368</v>
      </c>
      <c r="F6" t="s">
        <v>73</v>
      </c>
      <c r="G6" s="8" t="str">
        <f t="shared" si="0"/>
        <v>Liegenschaften: Kühl- und Kältemittel</v>
      </c>
      <c r="H6" t="s">
        <v>54</v>
      </c>
      <c r="I6" s="8" t="s">
        <v>100</v>
      </c>
      <c r="J6" s="8" t="s">
        <v>140</v>
      </c>
      <c r="K6" s="8" t="s">
        <v>140</v>
      </c>
      <c r="L6" s="8" t="s">
        <v>140</v>
      </c>
      <c r="N6" s="22" t="s">
        <v>54</v>
      </c>
    </row>
    <row r="7" spans="2:14" x14ac:dyDescent="0.35">
      <c r="B7" t="s">
        <v>46</v>
      </c>
      <c r="D7" t="s">
        <v>15</v>
      </c>
      <c r="E7" s="8" t="s">
        <v>368</v>
      </c>
      <c r="F7" t="s">
        <v>19</v>
      </c>
      <c r="G7" s="8" t="str">
        <f t="shared" si="0"/>
        <v>Mobilität: Fuhrpark</v>
      </c>
      <c r="H7" t="s">
        <v>15</v>
      </c>
      <c r="I7" s="8" t="s">
        <v>98</v>
      </c>
      <c r="J7" s="8" t="s">
        <v>97</v>
      </c>
      <c r="K7" s="8" t="s">
        <v>99</v>
      </c>
      <c r="L7" s="8" t="s">
        <v>140</v>
      </c>
      <c r="N7" s="21" t="s">
        <v>15</v>
      </c>
    </row>
    <row r="8" spans="2:14" x14ac:dyDescent="0.35">
      <c r="B8" t="s">
        <v>47</v>
      </c>
      <c r="D8" t="s">
        <v>21</v>
      </c>
      <c r="E8" s="8" t="s">
        <v>368</v>
      </c>
      <c r="F8" t="s">
        <v>19</v>
      </c>
      <c r="G8" s="8" t="str">
        <f t="shared" si="0"/>
        <v>Mobilität: Geschäftsreisen</v>
      </c>
      <c r="H8" t="s">
        <v>21</v>
      </c>
      <c r="I8" s="8" t="s">
        <v>140</v>
      </c>
      <c r="J8" s="8" t="s">
        <v>140</v>
      </c>
      <c r="K8" s="8" t="s">
        <v>102</v>
      </c>
      <c r="L8" s="8" t="s">
        <v>140</v>
      </c>
      <c r="N8" s="22" t="s">
        <v>21</v>
      </c>
    </row>
    <row r="9" spans="2:14" x14ac:dyDescent="0.35">
      <c r="D9" t="s">
        <v>74</v>
      </c>
      <c r="E9" s="8" t="s">
        <v>368</v>
      </c>
      <c r="F9" t="s">
        <v>19</v>
      </c>
      <c r="G9" s="8" t="str">
        <f t="shared" si="0"/>
        <v>Mobilität: Pendeln der Mitarbeitenden</v>
      </c>
      <c r="H9" t="s">
        <v>76</v>
      </c>
      <c r="I9" s="8" t="s">
        <v>140</v>
      </c>
      <c r="J9" s="8" t="s">
        <v>140</v>
      </c>
      <c r="K9" s="8" t="s">
        <v>103</v>
      </c>
      <c r="L9" s="8" t="s">
        <v>140</v>
      </c>
      <c r="N9" s="21" t="s">
        <v>76</v>
      </c>
    </row>
    <row r="10" spans="2:14" x14ac:dyDescent="0.35">
      <c r="D10" t="s">
        <v>144</v>
      </c>
      <c r="E10" s="8" t="s">
        <v>368</v>
      </c>
      <c r="F10" t="s">
        <v>19</v>
      </c>
      <c r="G10" s="8" t="str">
        <f t="shared" si="0"/>
        <v>Mobilität: Externe</v>
      </c>
      <c r="H10" t="s">
        <v>144</v>
      </c>
      <c r="I10" s="8" t="s">
        <v>140</v>
      </c>
      <c r="J10" s="8" t="s">
        <v>140</v>
      </c>
      <c r="K10" s="8" t="s">
        <v>97</v>
      </c>
      <c r="L10" s="8" t="s">
        <v>140</v>
      </c>
      <c r="N10" s="22" t="s">
        <v>144</v>
      </c>
    </row>
    <row r="11" spans="2:14" x14ac:dyDescent="0.35">
      <c r="D11" t="s">
        <v>77</v>
      </c>
      <c r="E11" s="8" t="s">
        <v>368</v>
      </c>
      <c r="F11" t="s">
        <v>19</v>
      </c>
      <c r="G11" s="8" t="str">
        <f t="shared" si="0"/>
        <v>Mobilität: Warentransporte</v>
      </c>
      <c r="H11" t="s">
        <v>77</v>
      </c>
      <c r="I11" s="8" t="s">
        <v>140</v>
      </c>
      <c r="J11" s="8" t="s">
        <v>140</v>
      </c>
      <c r="K11" s="8" t="s">
        <v>100</v>
      </c>
      <c r="L11" s="8" t="s">
        <v>140</v>
      </c>
      <c r="N11" s="21" t="s">
        <v>77</v>
      </c>
    </row>
    <row r="12" spans="2:14" x14ac:dyDescent="0.35">
      <c r="D12" t="s">
        <v>75</v>
      </c>
      <c r="E12" s="8" t="s">
        <v>369</v>
      </c>
      <c r="F12" t="s">
        <v>19</v>
      </c>
      <c r="G12" s="8" t="str">
        <f>CONCATENATE(F12,": ",D12)</f>
        <v>Mobilität: Anreise der Besuchenden</v>
      </c>
      <c r="H12" t="s">
        <v>78</v>
      </c>
      <c r="I12" s="8" t="s">
        <v>140</v>
      </c>
      <c r="J12" s="8" t="s">
        <v>140</v>
      </c>
      <c r="K12" s="8" t="s">
        <v>104</v>
      </c>
      <c r="L12" s="8" t="s">
        <v>140</v>
      </c>
      <c r="N12" s="21" t="s">
        <v>78</v>
      </c>
    </row>
    <row r="13" spans="2:14" x14ac:dyDescent="0.35">
      <c r="D13" t="s">
        <v>339</v>
      </c>
      <c r="E13" s="8" t="s">
        <v>369</v>
      </c>
      <c r="F13" t="s">
        <v>20</v>
      </c>
      <c r="G13" s="8" t="str">
        <f t="shared" si="0"/>
        <v>Einkauf: Einkauf Medien</v>
      </c>
      <c r="H13" t="s">
        <v>242</v>
      </c>
      <c r="I13" s="8" t="s">
        <v>140</v>
      </c>
      <c r="J13" s="8" t="s">
        <v>140</v>
      </c>
      <c r="K13" s="8" t="s">
        <v>97</v>
      </c>
      <c r="L13" s="8" t="s">
        <v>140</v>
      </c>
      <c r="N13" s="22" t="s">
        <v>339</v>
      </c>
    </row>
    <row r="14" spans="2:14" x14ac:dyDescent="0.35">
      <c r="D14" s="7" t="s">
        <v>23</v>
      </c>
      <c r="E14" s="8" t="s">
        <v>369</v>
      </c>
      <c r="F14" t="s">
        <v>20</v>
      </c>
      <c r="G14" s="8" t="str">
        <f t="shared" si="0"/>
        <v>Einkauf: IT-Dienstleistungen</v>
      </c>
      <c r="H14" t="s">
        <v>52</v>
      </c>
      <c r="I14" t="s">
        <v>140</v>
      </c>
      <c r="J14" s="8" t="s">
        <v>140</v>
      </c>
      <c r="K14" s="8" t="s">
        <v>97</v>
      </c>
      <c r="L14" s="8" t="s">
        <v>140</v>
      </c>
      <c r="N14" s="22" t="s">
        <v>52</v>
      </c>
    </row>
    <row r="15" spans="2:14" x14ac:dyDescent="0.35">
      <c r="D15" t="s">
        <v>22</v>
      </c>
      <c r="E15" s="8" t="s">
        <v>369</v>
      </c>
      <c r="F15" t="s">
        <v>20</v>
      </c>
      <c r="G15" s="8" t="str">
        <f t="shared" si="0"/>
        <v>Einkauf: Relevante Stoffströme</v>
      </c>
      <c r="H15" t="s">
        <v>53</v>
      </c>
      <c r="I15" s="8" t="s">
        <v>140</v>
      </c>
      <c r="J15" s="8" t="s">
        <v>140</v>
      </c>
      <c r="K15" s="8" t="s">
        <v>97</v>
      </c>
      <c r="L15" s="8" t="s">
        <v>101</v>
      </c>
      <c r="N15" s="21" t="s">
        <v>53</v>
      </c>
    </row>
    <row r="19" spans="1:14" ht="13.5" customHeight="1" x14ac:dyDescent="0.45">
      <c r="B19" s="5" t="s">
        <v>55</v>
      </c>
    </row>
    <row r="20" spans="1:14" ht="19.5" customHeight="1" x14ac:dyDescent="0.45">
      <c r="B20" s="5"/>
    </row>
    <row r="22" spans="1:14" s="4" customFormat="1" x14ac:dyDescent="0.35">
      <c r="A22" s="25"/>
      <c r="B22" s="20" t="s">
        <v>14</v>
      </c>
      <c r="C22" s="23" t="s">
        <v>18</v>
      </c>
      <c r="D22" s="23" t="s">
        <v>54</v>
      </c>
      <c r="E22" s="23" t="s">
        <v>15</v>
      </c>
      <c r="F22" s="23" t="s">
        <v>21</v>
      </c>
      <c r="G22" s="23" t="s">
        <v>76</v>
      </c>
      <c r="H22" s="23" t="s">
        <v>144</v>
      </c>
      <c r="I22" s="23" t="s">
        <v>77</v>
      </c>
      <c r="J22" s="23" t="s">
        <v>242</v>
      </c>
      <c r="K22" s="23" t="s">
        <v>78</v>
      </c>
      <c r="L22" s="23" t="s">
        <v>52</v>
      </c>
      <c r="M22" s="23" t="s">
        <v>53</v>
      </c>
      <c r="N22" s="22"/>
    </row>
    <row r="23" spans="1:14" x14ac:dyDescent="0.35">
      <c r="B23" s="21" t="str" cm="1">
        <f t="array" ref="B23:B34">Emissionsfaktoren!$E$9:INDEX(Emissionsfaktoren!$E$9:$E$25,COUNTA(Emissionsfaktoren!$E$9:$E$25))</f>
        <v>Erdgas (in kWh)</v>
      </c>
      <c r="C23" s="21" t="str" cm="1">
        <f t="array" ref="C23:C25">Emissionsfaktoren!$E$28:INDEX(Emissionsfaktoren!$E$28:$E$35,COUNTA(Emissionsfaktoren!$E$28:$E$35))</f>
        <v>Strombezug (Strommix Deutschland)</v>
      </c>
      <c r="D23" s="21" t="str" cm="1">
        <f t="array" ref="D23:D66">Emissionsfaktoren!$E$38:INDEX(Emissionsfaktoren!$E$38:$E$86,COUNTA(Emissionsfaktoren!$E$38:$E$86))</f>
        <v>CFC-12</v>
      </c>
      <c r="E23" s="21" t="str" cm="1">
        <f t="array" ref="E23:E27">Emissionsfaktoren!$E$89:INDEX(Emissionsfaktoren!$E$89:$E$98,COUNTA(Emissionsfaktoren!$E$89:$E$98))</f>
        <v>Benzin</v>
      </c>
      <c r="F23" s="21" t="str" cm="1">
        <f t="array" ref="F23:F32">Emissionsfaktoren!$E$101:INDEX(Emissionsfaktoren!$E$101:$E$115,COUNTA(Emissionsfaktoren!$E$101:$E$115))</f>
        <v>PKW</v>
      </c>
      <c r="G23" s="24" t="str" cm="1">
        <f t="array" ref="G23:G27">Emissionsfaktoren!$E$118:INDEX(Emissionsfaktoren!$E$118:$E$127,COUNTA(Emissionsfaktoren!$E$118:$E$127))</f>
        <v>zu Fuß/Fahrrad</v>
      </c>
      <c r="H23" s="21" t="str" cm="1">
        <f t="array" ref="H23:H30">Emissionsfaktoren!$E$130:INDEX(Emissionsfaktoren!$E$130:$E$142,COUNTA(Emissionsfaktoren!$E$130:$E$142))</f>
        <v>PKW</v>
      </c>
      <c r="I23" s="21" t="str" cm="1">
        <f t="array" ref="I23:I36">Emissionsfaktoren!$E$145:INDEX(Emissionsfaktoren!$E$145:$E$163,COUNTA(Emissionsfaktoren!$E$145:$E$163))</f>
        <v>Straße: LKW Durchschnitt</v>
      </c>
      <c r="J23" s="21" t="str" cm="1">
        <f t="array" ref="J23:J28">Emissionsfaktoren!$E$166:INDEX(Emissionsfaktoren!$E$166:$E$176,COUNTA(Emissionsfaktoren!$E$166:$E$176))</f>
        <v>Bücher (kg)</v>
      </c>
      <c r="K23" s="21" t="str" cm="1">
        <f t="array" ref="K23:K30">Emissionsfaktoren!$E$179:INDEX(Emissionsfaktoren!$E$179:$E$191,COUNTA(Emissionsfaktoren!$E$179:$E$191))</f>
        <v>zu Fuß/Fahrrad</v>
      </c>
      <c r="L23" s="21" t="str" cm="1">
        <f t="array" ref="L23:L24">Emissionsfaktoren!$E$194:INDEX(Emissionsfaktoren!$E$194:$E$200,COUNTA(Emissionsfaktoren!$E$194:$E$200))</f>
        <v>Cloud Storage</v>
      </c>
      <c r="M23" s="18" t="str" cm="1">
        <f t="array" ref="M23:M42">Emissionsfaktoren!$E$204:INDEX(Emissionsfaktoren!$E$204:$E$228,COUNTA(Emissionsfaktoren!$E$204:$E$228))</f>
        <v>Altholz (t)</v>
      </c>
    </row>
    <row r="24" spans="1:14" x14ac:dyDescent="0.35">
      <c r="B24" s="22" t="str">
        <v>Erdgas (in m3)</v>
      </c>
      <c r="C24" s="22" t="str">
        <v>Strom Eigenerzeugung (Photovoltaik)</v>
      </c>
      <c r="D24" s="22" t="str">
        <v>HCFC-123</v>
      </c>
      <c r="E24" s="22" t="str">
        <v>Diesel</v>
      </c>
      <c r="F24" s="22" t="str">
        <v>ÖPNV</v>
      </c>
      <c r="G24" s="22" t="str">
        <v>ÖPNV</v>
      </c>
      <c r="H24" s="22" t="str">
        <v>ÖPNV</v>
      </c>
      <c r="I24" s="22" t="str">
        <v>Straße: LKW &lt;7,5 t</v>
      </c>
      <c r="J24" s="22" t="str">
        <v>Bücher (Stück)</v>
      </c>
      <c r="K24" s="22" t="str">
        <v>ÖPNV</v>
      </c>
      <c r="L24" s="22" t="str">
        <v>Extern ermittelte Emissionen</v>
      </c>
      <c r="M24" s="22" t="str">
        <v>Altholz (m3)</v>
      </c>
    </row>
    <row r="25" spans="1:14" x14ac:dyDescent="0.35">
      <c r="B25" s="21" t="str">
        <v>Biomethan (in kWh)</v>
      </c>
      <c r="C25" s="21" t="str">
        <v>Diesel-Notstromaggregat</v>
      </c>
      <c r="D25" s="21" t="str">
        <v>HCFC-22</v>
      </c>
      <c r="E25" s="21" t="str">
        <v>Autogas (LPG)</v>
      </c>
      <c r="F25" s="21" t="str">
        <v>Reisebus</v>
      </c>
      <c r="G25" s="21" t="str">
        <v>PKW</v>
      </c>
      <c r="H25" s="21" t="str">
        <v>Reisebus</v>
      </c>
      <c r="I25" s="21" t="str">
        <v>Straße: LKW 7,5-12 t</v>
      </c>
      <c r="J25" s="21" t="str">
        <v>CDs (kg)</v>
      </c>
      <c r="K25" s="21" t="str">
        <v>PKW</v>
      </c>
      <c r="L25" s="21"/>
      <c r="M25" s="18" t="str">
        <v>Metallschrott (t)</v>
      </c>
    </row>
    <row r="26" spans="1:14" x14ac:dyDescent="0.35">
      <c r="B26" s="22" t="str">
        <v>Biomethan (in m3)</v>
      </c>
      <c r="C26" s="22"/>
      <c r="D26" s="22" t="str">
        <v>HFC-125</v>
      </c>
      <c r="E26" s="22" t="str">
        <v>Erdgas (CNG)</v>
      </c>
      <c r="F26" s="22" t="str">
        <v>Bahn Fernverkehr</v>
      </c>
      <c r="G26" s="22" t="str">
        <v>Bahn Fernverkehr</v>
      </c>
      <c r="H26" s="22" t="str">
        <v>Bahn Fernverkehr</v>
      </c>
      <c r="I26" s="22" t="str">
        <v>Straße: LKW 12-24 t</v>
      </c>
      <c r="J26" s="22" t="str">
        <v>CDs (Stück)</v>
      </c>
      <c r="K26" s="22" t="str">
        <v>Reisebus</v>
      </c>
      <c r="L26" s="22"/>
      <c r="M26" s="22" t="str">
        <v>Metallschrott (m3)</v>
      </c>
    </row>
    <row r="27" spans="1:14" x14ac:dyDescent="0.35">
      <c r="B27" s="21" t="str">
        <v>Heizöl (in kWh)</v>
      </c>
      <c r="C27" s="21"/>
      <c r="D27" s="21" t="str">
        <v>HFC-134a</v>
      </c>
      <c r="E27" s="21" t="str">
        <v>Strom (externes Laden)</v>
      </c>
      <c r="F27" s="21" t="str">
        <v>Flug (Inland)</v>
      </c>
      <c r="G27" s="18" t="str">
        <v>Anfahrtswegpauschale</v>
      </c>
      <c r="H27" s="21" t="str">
        <v>Flug (Inland)</v>
      </c>
      <c r="I27" s="21" t="str">
        <v>Straße: Last-/Sattelzug 24-40 t</v>
      </c>
      <c r="J27" s="21" t="str">
        <v>DVDs (kg)</v>
      </c>
      <c r="K27" s="18" t="str">
        <v>Bahn Fernverkehr</v>
      </c>
      <c r="L27" s="21"/>
      <c r="M27" s="18" t="str">
        <v>Baumischabfall (t)</v>
      </c>
    </row>
    <row r="28" spans="1:14" x14ac:dyDescent="0.35">
      <c r="B28" s="22" t="str">
        <v>Heizöl (in L)</v>
      </c>
      <c r="C28" s="22"/>
      <c r="D28" s="22" t="str">
        <v>HFC-143a</v>
      </c>
      <c r="E28" s="19"/>
      <c r="F28" s="22" t="str">
        <v>Flug (innereuropäisch)</v>
      </c>
      <c r="G28" s="22"/>
      <c r="H28" s="22" t="str">
        <v>Flug (innereuropäisch)</v>
      </c>
      <c r="I28" s="22" t="str">
        <v>Schiene: Zug Durchschnitt</v>
      </c>
      <c r="J28" s="22" t="str">
        <v>DVDs (Stück)</v>
      </c>
      <c r="K28" s="22" t="str">
        <v>Flug (Inland)</v>
      </c>
      <c r="L28" s="22"/>
      <c r="M28" s="22" t="str">
        <v>Baumischabfall (m3)</v>
      </c>
    </row>
    <row r="29" spans="1:14" x14ac:dyDescent="0.35">
      <c r="B29" s="21" t="str">
        <v>Flüssiggas (in kWh)</v>
      </c>
      <c r="C29" s="18"/>
      <c r="D29" s="21" t="str">
        <v>HFC-227ea</v>
      </c>
      <c r="E29" s="18"/>
      <c r="F29" s="21" t="str">
        <v>Flug (international)</v>
      </c>
      <c r="G29" s="18"/>
      <c r="H29" s="18" t="str">
        <v>Flug (international)</v>
      </c>
      <c r="I29" s="21" t="str">
        <v>Schiene: Zug mit Elektrotraktion</v>
      </c>
      <c r="J29" s="18"/>
      <c r="K29" s="18" t="str">
        <v>Flug (innereuropäisch)</v>
      </c>
      <c r="L29" s="21"/>
      <c r="M29" s="18" t="str">
        <v>Sperrmüll (t)</v>
      </c>
    </row>
    <row r="30" spans="1:14" x14ac:dyDescent="0.35">
      <c r="B30" s="22" t="str">
        <v>Flüssiggas (in L)</v>
      </c>
      <c r="C30" s="22"/>
      <c r="D30" s="22" t="str">
        <v>HFC-23</v>
      </c>
      <c r="E30" s="22"/>
      <c r="F30" s="22" t="str">
        <v>Hotel (Durchschnitt, Deutschland)</v>
      </c>
      <c r="H30" s="22" t="str">
        <v>Hotel (Durchschnitt, Deutschland)</v>
      </c>
      <c r="I30" s="22" t="str">
        <v>Schiene: Zug mit Dieseltraktion</v>
      </c>
      <c r="J30" s="22"/>
      <c r="K30" s="22" t="str">
        <v>Flug (international)</v>
      </c>
      <c r="L30" s="22"/>
      <c r="M30" s="22" t="str">
        <v>Sperrmüll (m3)</v>
      </c>
    </row>
    <row r="31" spans="1:14" x14ac:dyDescent="0.35">
      <c r="B31" s="21" t="str">
        <v>Fernwärme (fossiler Mix DE)</v>
      </c>
      <c r="C31" s="18"/>
      <c r="D31" s="21" t="str">
        <v>HFC-32</v>
      </c>
      <c r="E31" s="18"/>
      <c r="F31" s="21" t="str">
        <v>Hotel (Durchschnitt, International)</v>
      </c>
      <c r="G31" s="18"/>
      <c r="H31" s="18"/>
      <c r="I31" s="21" t="str">
        <v>See: Containerschiff</v>
      </c>
      <c r="J31" s="18"/>
      <c r="K31" s="18"/>
      <c r="L31" s="21"/>
      <c r="M31" s="18" t="str">
        <v>Elektroschrott (IT-Hardware, t)</v>
      </c>
    </row>
    <row r="32" spans="1:14" x14ac:dyDescent="0.35">
      <c r="B32" s="22" t="str">
        <v>Fernwärme (Wert Energieversorger)</v>
      </c>
      <c r="C32" s="22"/>
      <c r="D32" s="22" t="str">
        <v>HFO-1234yf</v>
      </c>
      <c r="E32" s="22"/>
      <c r="F32" s="22" t="str">
        <v>Extern ermittelte Emissionen</v>
      </c>
      <c r="H32" s="22"/>
      <c r="I32" s="22" t="str">
        <v>See: Massengutfrachter</v>
      </c>
      <c r="J32" s="22"/>
      <c r="K32" s="22"/>
      <c r="L32" s="22"/>
      <c r="M32" s="22" t="str">
        <v>Elektroschrott (ohne IT-Hardware, t)</v>
      </c>
    </row>
    <row r="33" spans="2:13" x14ac:dyDescent="0.35">
      <c r="B33" s="21" t="str">
        <v>Holzpellets</v>
      </c>
      <c r="C33" s="18"/>
      <c r="D33" s="21" t="str">
        <v>HFO-1234ze(Z)</v>
      </c>
      <c r="E33" s="18"/>
      <c r="F33" s="21"/>
      <c r="G33" s="18"/>
      <c r="H33" s="18"/>
      <c r="I33" s="18" t="str">
        <v>See: Binnenschiff</v>
      </c>
      <c r="J33" s="18"/>
      <c r="K33" s="18"/>
      <c r="L33" s="18"/>
      <c r="M33" s="18" t="str">
        <v>Papiermüll (t)</v>
      </c>
    </row>
    <row r="34" spans="2:13" x14ac:dyDescent="0.35">
      <c r="B34" s="22" t="str">
        <v>Solarthermie</v>
      </c>
      <c r="C34" s="22"/>
      <c r="D34" s="22" t="str">
        <v>PFC-116</v>
      </c>
      <c r="E34" s="22"/>
      <c r="F34" s="22"/>
      <c r="H34" s="22"/>
      <c r="I34" s="22" t="str">
        <v>Luft: Frachtflugzeug</v>
      </c>
      <c r="J34" s="22"/>
      <c r="K34" s="22"/>
      <c r="L34" s="22"/>
      <c r="M34" s="22" t="str">
        <v>Papiermüll (m3)</v>
      </c>
    </row>
    <row r="35" spans="2:13" x14ac:dyDescent="0.35">
      <c r="B35" s="21"/>
      <c r="C35" s="18"/>
      <c r="D35" s="21" t="str">
        <v>R1150 (Ethen)</v>
      </c>
      <c r="E35" s="18"/>
      <c r="F35" s="21"/>
      <c r="G35" s="18"/>
      <c r="H35" s="18"/>
      <c r="I35" s="18" t="str">
        <v>Luft: Belly-Fracht</v>
      </c>
      <c r="J35" s="18"/>
      <c r="K35" s="18"/>
      <c r="L35" s="18"/>
      <c r="M35" s="18" t="str">
        <v>Plastikmüll (t)</v>
      </c>
    </row>
    <row r="36" spans="2:13" x14ac:dyDescent="0.35">
      <c r="B36" s="22"/>
      <c r="C36" s="22"/>
      <c r="D36" s="22" t="str">
        <v>R1270 (Propen)</v>
      </c>
      <c r="E36" s="22"/>
      <c r="F36" s="22"/>
      <c r="H36" s="22"/>
      <c r="I36" s="22" t="str">
        <v>Extern ermittelte Emissionen</v>
      </c>
      <c r="J36" s="22"/>
      <c r="K36" s="22"/>
      <c r="L36" s="22"/>
      <c r="M36" s="22" t="str">
        <v>Plastikmüll (m3)</v>
      </c>
    </row>
    <row r="37" spans="2:13" x14ac:dyDescent="0.35">
      <c r="B37" s="21"/>
      <c r="C37" s="18"/>
      <c r="D37" s="21" t="str">
        <v>R170 (Ethan)</v>
      </c>
      <c r="E37" s="18"/>
      <c r="F37" s="18"/>
      <c r="G37" s="18"/>
      <c r="H37" s="18"/>
      <c r="I37" s="18"/>
      <c r="J37" s="18"/>
      <c r="K37" s="18"/>
      <c r="L37" s="18"/>
      <c r="M37" s="18" t="str">
        <v>Restmüll (t)</v>
      </c>
    </row>
    <row r="38" spans="2:13" x14ac:dyDescent="0.35">
      <c r="B38" s="19"/>
      <c r="C38" s="22"/>
      <c r="D38" s="22" t="str">
        <v>R290 (Propan)</v>
      </c>
      <c r="E38" s="22"/>
      <c r="F38" s="22"/>
      <c r="H38" s="22"/>
      <c r="I38" s="22"/>
      <c r="J38" s="22"/>
      <c r="K38" s="22"/>
      <c r="L38" s="22"/>
      <c r="M38" s="22" t="str">
        <v>Restmüll (m3)</v>
      </c>
    </row>
    <row r="39" spans="2:13" x14ac:dyDescent="0.35">
      <c r="B39" s="18"/>
      <c r="C39" s="18"/>
      <c r="D39" s="21" t="str">
        <v>R401A</v>
      </c>
      <c r="E39" s="18"/>
      <c r="F39" s="18"/>
      <c r="G39" s="18"/>
      <c r="H39" s="18"/>
      <c r="I39" s="18"/>
      <c r="J39" s="18"/>
      <c r="K39" s="18"/>
      <c r="L39" s="18"/>
      <c r="M39" s="18" t="str">
        <v>Biomüll (t)</v>
      </c>
    </row>
    <row r="40" spans="2:13" x14ac:dyDescent="0.35">
      <c r="B40" s="22"/>
      <c r="C40" s="22"/>
      <c r="D40" s="22" t="str">
        <v>R401B</v>
      </c>
      <c r="E40" s="22"/>
      <c r="F40" s="22"/>
      <c r="G40" s="22"/>
      <c r="H40" s="22"/>
      <c r="I40" s="22"/>
      <c r="J40" s="22"/>
      <c r="K40" s="22"/>
      <c r="L40" s="22"/>
      <c r="M40" s="22" t="str">
        <v>Biomüll (m3)</v>
      </c>
    </row>
    <row r="41" spans="2:13" x14ac:dyDescent="0.35">
      <c r="B41" s="18"/>
      <c r="C41" s="18"/>
      <c r="D41" s="21" t="str">
        <v>R402A</v>
      </c>
      <c r="E41" s="18"/>
      <c r="F41" s="18"/>
      <c r="G41" s="18"/>
      <c r="H41" s="18"/>
      <c r="I41" s="18"/>
      <c r="J41" s="18"/>
      <c r="K41" s="18"/>
      <c r="L41" s="18"/>
      <c r="M41" s="18" t="str">
        <v>Altglas (t)</v>
      </c>
    </row>
    <row r="42" spans="2:13" x14ac:dyDescent="0.35">
      <c r="B42" s="22"/>
      <c r="C42" s="22"/>
      <c r="D42" s="22" t="str">
        <v>R402B</v>
      </c>
      <c r="E42" s="22"/>
      <c r="F42" s="22"/>
      <c r="G42" s="22"/>
      <c r="H42" s="22"/>
      <c r="I42" s="22"/>
      <c r="J42" s="22"/>
      <c r="K42" s="22"/>
      <c r="L42" s="22"/>
      <c r="M42" s="22" t="str">
        <v>Altglas (m3)</v>
      </c>
    </row>
    <row r="43" spans="2:13" x14ac:dyDescent="0.35">
      <c r="B43" s="18"/>
      <c r="C43" s="18"/>
      <c r="D43" s="21" t="str">
        <v>R404A</v>
      </c>
      <c r="E43" s="18"/>
      <c r="F43" s="18"/>
      <c r="G43" s="18"/>
      <c r="H43" s="18"/>
      <c r="I43" s="18"/>
      <c r="J43" s="18"/>
      <c r="K43" s="18"/>
      <c r="L43" s="18"/>
      <c r="M43" s="18"/>
    </row>
    <row r="44" spans="2:13" x14ac:dyDescent="0.35">
      <c r="B44" s="22"/>
      <c r="C44" s="22"/>
      <c r="D44" s="22" t="str">
        <v>R407A</v>
      </c>
      <c r="E44" s="22"/>
      <c r="F44" s="22"/>
      <c r="G44" s="22"/>
      <c r="H44" s="22"/>
      <c r="I44" s="22"/>
      <c r="J44" s="22"/>
      <c r="K44" s="22"/>
      <c r="L44" s="22"/>
      <c r="M44" s="22"/>
    </row>
    <row r="45" spans="2:13" x14ac:dyDescent="0.35">
      <c r="B45" s="18"/>
      <c r="C45" s="18"/>
      <c r="D45" s="21" t="str">
        <v>R407C</v>
      </c>
      <c r="E45" s="18"/>
      <c r="F45" s="18"/>
      <c r="G45" s="18"/>
      <c r="H45" s="18"/>
      <c r="I45" s="18"/>
      <c r="J45" s="18"/>
      <c r="K45" s="18"/>
      <c r="L45" s="18"/>
      <c r="M45" s="18"/>
    </row>
    <row r="46" spans="2:13" x14ac:dyDescent="0.35">
      <c r="B46" s="22"/>
      <c r="C46" s="22"/>
      <c r="D46" s="22" t="str">
        <v>R407F</v>
      </c>
      <c r="E46" s="22"/>
      <c r="F46" s="22"/>
      <c r="G46" s="22"/>
      <c r="H46" s="22"/>
      <c r="I46" s="22"/>
      <c r="J46" s="22"/>
      <c r="K46" s="22"/>
      <c r="L46" s="22"/>
      <c r="M46" s="22"/>
    </row>
    <row r="47" spans="2:13" x14ac:dyDescent="0.35">
      <c r="B47" s="18"/>
      <c r="C47" s="18"/>
      <c r="D47" s="21" t="str">
        <v>R408A</v>
      </c>
      <c r="E47" s="18"/>
      <c r="F47" s="18"/>
      <c r="G47" s="18"/>
      <c r="H47" s="18"/>
      <c r="I47" s="18"/>
      <c r="J47" s="18"/>
      <c r="K47" s="18"/>
      <c r="L47" s="18"/>
      <c r="M47" s="18"/>
    </row>
    <row r="48" spans="2:13" x14ac:dyDescent="0.35">
      <c r="B48" s="22"/>
      <c r="C48" s="22"/>
      <c r="D48" s="22" t="str">
        <v>R409A</v>
      </c>
      <c r="E48" s="22"/>
      <c r="F48" s="22"/>
      <c r="G48" s="22"/>
      <c r="H48" s="22"/>
      <c r="I48" s="22"/>
      <c r="J48" s="22"/>
      <c r="K48" s="22"/>
      <c r="L48" s="22"/>
      <c r="M48" s="22"/>
    </row>
    <row r="49" spans="2:13" x14ac:dyDescent="0.35">
      <c r="B49" s="18"/>
      <c r="C49" s="18"/>
      <c r="D49" s="21" t="str">
        <v>R410A</v>
      </c>
      <c r="E49" s="18"/>
      <c r="F49" s="18"/>
      <c r="G49" s="18"/>
      <c r="H49" s="18"/>
      <c r="I49" s="18"/>
      <c r="J49" s="18"/>
      <c r="K49" s="18"/>
      <c r="L49" s="18"/>
      <c r="M49" s="18"/>
    </row>
    <row r="50" spans="2:13" x14ac:dyDescent="0.35">
      <c r="B50" s="22"/>
      <c r="C50" s="22"/>
      <c r="D50" s="22" t="str">
        <v>R417A</v>
      </c>
      <c r="E50" s="22"/>
      <c r="F50" s="22"/>
      <c r="G50" s="22"/>
      <c r="H50" s="22"/>
      <c r="I50" s="22"/>
      <c r="J50" s="22"/>
      <c r="K50" s="22"/>
      <c r="L50" s="22"/>
      <c r="M50" s="22"/>
    </row>
    <row r="51" spans="2:13" x14ac:dyDescent="0.35">
      <c r="B51" s="18"/>
      <c r="C51" s="18"/>
      <c r="D51" s="21" t="str">
        <v>R422A</v>
      </c>
      <c r="E51" s="18"/>
      <c r="F51" s="18"/>
      <c r="G51" s="18"/>
      <c r="H51" s="18"/>
      <c r="I51" s="18"/>
      <c r="J51" s="18"/>
      <c r="K51" s="18"/>
      <c r="L51" s="18"/>
      <c r="M51" s="18"/>
    </row>
    <row r="52" spans="2:13" x14ac:dyDescent="0.35">
      <c r="B52" s="22"/>
      <c r="C52" s="22"/>
      <c r="D52" s="22" t="str">
        <v>R422D</v>
      </c>
      <c r="E52" s="22"/>
      <c r="F52" s="22"/>
      <c r="G52" s="22"/>
      <c r="H52" s="22"/>
      <c r="I52" s="22"/>
      <c r="J52" s="22"/>
      <c r="K52" s="22"/>
      <c r="L52" s="22"/>
      <c r="M52" s="22"/>
    </row>
    <row r="53" spans="2:13" x14ac:dyDescent="0.35">
      <c r="B53" s="18"/>
      <c r="C53" s="18"/>
      <c r="D53" s="21" t="str">
        <v>R423A</v>
      </c>
      <c r="E53" s="18"/>
      <c r="F53" s="18"/>
      <c r="G53" s="18"/>
      <c r="H53" s="18"/>
      <c r="I53" s="18"/>
      <c r="J53" s="18"/>
      <c r="K53" s="18"/>
      <c r="L53" s="18"/>
      <c r="M53" s="18"/>
    </row>
    <row r="54" spans="2:13" x14ac:dyDescent="0.35">
      <c r="B54" s="22"/>
      <c r="C54" s="22"/>
      <c r="D54" s="22" t="str">
        <v>R424A</v>
      </c>
      <c r="E54" s="22"/>
      <c r="F54" s="22"/>
      <c r="G54" s="22"/>
      <c r="H54" s="22"/>
      <c r="I54" s="22"/>
      <c r="J54" s="22"/>
      <c r="K54" s="22"/>
      <c r="L54" s="22"/>
      <c r="M54" s="22"/>
    </row>
    <row r="55" spans="2:13" x14ac:dyDescent="0.35">
      <c r="B55" s="18"/>
      <c r="C55" s="18"/>
      <c r="D55" s="21" t="str">
        <v>R427A</v>
      </c>
      <c r="E55" s="18"/>
      <c r="F55" s="18"/>
      <c r="G55" s="18"/>
      <c r="H55" s="18"/>
      <c r="I55" s="18"/>
      <c r="J55" s="18"/>
      <c r="K55" s="18"/>
      <c r="L55" s="18"/>
      <c r="M55" s="18"/>
    </row>
    <row r="56" spans="2:13" x14ac:dyDescent="0.35">
      <c r="B56" s="22"/>
      <c r="C56" s="22"/>
      <c r="D56" s="22" t="str">
        <v>R428A</v>
      </c>
      <c r="E56" s="22"/>
      <c r="F56" s="22"/>
      <c r="G56" s="22"/>
      <c r="H56" s="22"/>
      <c r="I56" s="22"/>
      <c r="J56" s="22"/>
      <c r="K56" s="22"/>
      <c r="L56" s="22"/>
      <c r="M56" s="22"/>
    </row>
    <row r="57" spans="2:13" x14ac:dyDescent="0.35">
      <c r="B57" s="18"/>
      <c r="C57" s="18"/>
      <c r="D57" s="21" t="str">
        <v>R434A</v>
      </c>
      <c r="E57" s="18"/>
      <c r="F57" s="18"/>
      <c r="G57" s="18"/>
      <c r="H57" s="18"/>
      <c r="I57" s="18"/>
      <c r="J57" s="18"/>
      <c r="K57" s="18"/>
      <c r="L57" s="18"/>
      <c r="M57" s="18"/>
    </row>
    <row r="58" spans="2:13" x14ac:dyDescent="0.35">
      <c r="B58" s="22"/>
      <c r="C58" s="22"/>
      <c r="D58" s="22" t="str">
        <v>R437A</v>
      </c>
      <c r="E58" s="22"/>
      <c r="F58" s="22"/>
      <c r="G58" s="22"/>
      <c r="H58" s="22"/>
      <c r="I58" s="22"/>
      <c r="J58" s="22"/>
      <c r="K58" s="22"/>
      <c r="L58" s="22"/>
      <c r="M58" s="22"/>
    </row>
    <row r="59" spans="2:13" x14ac:dyDescent="0.35">
      <c r="B59" s="18"/>
      <c r="C59" s="18"/>
      <c r="D59" s="21" t="str">
        <v>R438A</v>
      </c>
      <c r="E59" s="18"/>
      <c r="F59" s="18"/>
      <c r="G59" s="18"/>
      <c r="H59" s="18"/>
      <c r="I59" s="18"/>
      <c r="J59" s="18"/>
      <c r="K59" s="18"/>
      <c r="L59" s="18"/>
      <c r="M59" s="18"/>
    </row>
    <row r="60" spans="2:13" x14ac:dyDescent="0.35">
      <c r="B60" s="22"/>
      <c r="C60" s="22"/>
      <c r="D60" s="22" t="str">
        <v>R442A</v>
      </c>
      <c r="E60" s="22"/>
      <c r="F60" s="22"/>
      <c r="G60" s="22"/>
      <c r="H60" s="22"/>
      <c r="I60" s="22"/>
      <c r="J60" s="22"/>
      <c r="K60" s="22"/>
      <c r="L60" s="22"/>
      <c r="M60" s="22"/>
    </row>
    <row r="61" spans="2:13" x14ac:dyDescent="0.35">
      <c r="B61" s="18"/>
      <c r="C61" s="18"/>
      <c r="D61" s="21" t="str">
        <v>R502</v>
      </c>
      <c r="E61" s="18"/>
      <c r="F61" s="18"/>
      <c r="G61" s="18"/>
      <c r="H61" s="18"/>
      <c r="I61" s="18"/>
      <c r="J61" s="18"/>
      <c r="K61" s="18"/>
      <c r="L61" s="18"/>
      <c r="M61" s="18"/>
    </row>
    <row r="62" spans="2:13" x14ac:dyDescent="0.35">
      <c r="B62" s="22"/>
      <c r="C62" s="22"/>
      <c r="D62" s="22" t="str">
        <v>R507A / R507</v>
      </c>
      <c r="E62" s="22"/>
      <c r="F62" s="22"/>
      <c r="G62" s="22"/>
      <c r="H62" s="22"/>
      <c r="I62" s="22"/>
      <c r="J62" s="22"/>
      <c r="K62" s="22"/>
      <c r="L62" s="22"/>
      <c r="M62" s="22"/>
    </row>
    <row r="63" spans="2:13" x14ac:dyDescent="0.35">
      <c r="B63" s="18"/>
      <c r="C63" s="18"/>
      <c r="D63" s="21" t="str">
        <v>R508B</v>
      </c>
      <c r="E63" s="18"/>
      <c r="F63" s="18"/>
      <c r="G63" s="18"/>
      <c r="H63" s="18"/>
      <c r="I63" s="18"/>
      <c r="J63" s="18"/>
      <c r="K63" s="18"/>
      <c r="L63" s="18"/>
      <c r="M63" s="18"/>
    </row>
    <row r="64" spans="2:13" x14ac:dyDescent="0.35">
      <c r="B64" s="22"/>
      <c r="C64" s="22"/>
      <c r="D64" s="22" t="str">
        <v>R600a (Isobutan)</v>
      </c>
      <c r="E64" s="22"/>
      <c r="F64" s="22"/>
      <c r="G64" s="22"/>
      <c r="H64" s="22"/>
      <c r="I64" s="22"/>
      <c r="J64" s="22"/>
      <c r="K64" s="22"/>
      <c r="L64" s="22"/>
      <c r="M64" s="22"/>
    </row>
    <row r="65" spans="2:13" x14ac:dyDescent="0.35">
      <c r="B65" s="18"/>
      <c r="C65" s="18"/>
      <c r="D65" s="21" t="str">
        <v>R717 (Ammoniak)</v>
      </c>
      <c r="E65" s="18"/>
      <c r="F65" s="18"/>
      <c r="G65" s="18"/>
      <c r="H65" s="18"/>
      <c r="I65" s="18"/>
      <c r="J65" s="18"/>
      <c r="K65" s="18"/>
      <c r="L65" s="18"/>
      <c r="M65" s="18"/>
    </row>
    <row r="66" spans="2:13" x14ac:dyDescent="0.35">
      <c r="B66" s="22"/>
      <c r="C66" s="22"/>
      <c r="D66" s="22" t="str">
        <v>R744 (Kohlenstoffdioxid)</v>
      </c>
      <c r="E66" s="22"/>
      <c r="F66" s="22"/>
      <c r="G66" s="22"/>
      <c r="H66" s="22"/>
      <c r="I66" s="22"/>
      <c r="J66" s="22"/>
      <c r="K66" s="22"/>
      <c r="L66" s="22"/>
      <c r="M66" s="22"/>
    </row>
    <row r="67" spans="2:13" x14ac:dyDescent="0.35">
      <c r="B67" s="18"/>
      <c r="C67" s="18"/>
      <c r="D67" s="18"/>
      <c r="E67" s="18"/>
      <c r="F67" s="18"/>
      <c r="G67" s="18"/>
      <c r="H67" s="18"/>
      <c r="I67" s="18"/>
      <c r="J67" s="18"/>
      <c r="K67" s="18"/>
      <c r="L67" s="18"/>
      <c r="M67" s="18"/>
    </row>
    <row r="68" spans="2:13" x14ac:dyDescent="0.35">
      <c r="B68" s="22"/>
      <c r="C68" s="22"/>
      <c r="D68" s="22"/>
      <c r="E68" s="22"/>
      <c r="F68" s="22"/>
      <c r="G68" s="22"/>
      <c r="H68" s="22"/>
      <c r="I68" s="22"/>
      <c r="J68" s="22"/>
      <c r="K68" s="22"/>
      <c r="L68" s="22"/>
      <c r="M68" s="22"/>
    </row>
    <row r="69" spans="2:13" x14ac:dyDescent="0.35">
      <c r="B69" s="18"/>
      <c r="C69" s="18"/>
      <c r="D69" s="18"/>
      <c r="E69" s="18"/>
      <c r="F69" s="18"/>
      <c r="G69" s="18"/>
      <c r="H69" s="18"/>
      <c r="I69" s="18"/>
      <c r="J69" s="18"/>
      <c r="K69" s="18"/>
      <c r="L69" s="18"/>
      <c r="M69" s="18"/>
    </row>
    <row r="70" spans="2:13" x14ac:dyDescent="0.35">
      <c r="B70" s="22"/>
      <c r="C70" s="22"/>
      <c r="D70" s="22"/>
      <c r="E70" s="22"/>
      <c r="F70" s="22"/>
      <c r="G70" s="22"/>
      <c r="H70" s="22"/>
      <c r="I70" s="22"/>
      <c r="J70" s="22"/>
      <c r="K70" s="22"/>
      <c r="L70" s="22"/>
      <c r="M70" s="22"/>
    </row>
    <row r="71" spans="2:13" x14ac:dyDescent="0.35">
      <c r="B71" s="18"/>
      <c r="C71" s="18"/>
      <c r="D71" s="18"/>
      <c r="E71" s="18"/>
      <c r="F71" s="18"/>
      <c r="G71" s="18"/>
      <c r="H71" s="18"/>
      <c r="I71" s="18"/>
      <c r="J71" s="18"/>
      <c r="K71" s="18"/>
      <c r="L71" s="18"/>
      <c r="M71" s="18"/>
    </row>
    <row r="72" spans="2:13" x14ac:dyDescent="0.35">
      <c r="B72" s="22"/>
      <c r="C72" s="22"/>
      <c r="D72" s="22"/>
      <c r="E72" s="22"/>
      <c r="F72" s="22"/>
      <c r="G72" s="22"/>
      <c r="H72" s="22"/>
      <c r="I72" s="22"/>
      <c r="J72" s="22"/>
      <c r="K72" s="22"/>
      <c r="L72" s="22"/>
      <c r="M72" s="22"/>
    </row>
    <row r="73" spans="2:13" x14ac:dyDescent="0.35">
      <c r="B73" s="18"/>
      <c r="C73" s="18"/>
      <c r="D73" s="18"/>
      <c r="E73" s="18"/>
      <c r="F73" s="18"/>
      <c r="G73" s="18"/>
      <c r="H73" s="18"/>
      <c r="I73" s="18"/>
      <c r="J73" s="18"/>
      <c r="K73" s="18"/>
      <c r="L73" s="18"/>
      <c r="M73" s="18"/>
    </row>
    <row r="74" spans="2:13" x14ac:dyDescent="0.35">
      <c r="B74" s="22"/>
      <c r="C74" s="22"/>
      <c r="D74" s="22"/>
      <c r="E74" s="22"/>
      <c r="F74" s="22"/>
      <c r="G74" s="22"/>
      <c r="H74" s="22"/>
      <c r="I74" s="22"/>
      <c r="J74" s="22"/>
      <c r="K74" s="22"/>
      <c r="L74" s="22"/>
      <c r="M74" s="22"/>
    </row>
    <row r="75" spans="2:13" x14ac:dyDescent="0.35">
      <c r="B75" s="18"/>
      <c r="C75" s="18"/>
      <c r="D75" s="18"/>
      <c r="E75" s="18"/>
      <c r="F75" s="18"/>
      <c r="G75" s="18"/>
      <c r="H75" s="18"/>
      <c r="I75" s="18"/>
      <c r="J75" s="18"/>
      <c r="K75" s="18"/>
      <c r="L75" s="18"/>
      <c r="M75" s="18"/>
    </row>
    <row r="76" spans="2:13" x14ac:dyDescent="0.35">
      <c r="B76" s="22"/>
      <c r="C76" s="22"/>
      <c r="D76" s="22"/>
      <c r="E76" s="22"/>
      <c r="F76" s="22"/>
      <c r="G76" s="22"/>
      <c r="H76" s="22"/>
      <c r="I76" s="22"/>
      <c r="J76" s="22"/>
      <c r="K76" s="22"/>
      <c r="L76" s="22"/>
      <c r="M76" s="22"/>
    </row>
    <row r="77" spans="2:13" x14ac:dyDescent="0.35">
      <c r="B77" s="22"/>
      <c r="C77" s="22"/>
      <c r="D77" s="22"/>
      <c r="E77" s="22"/>
      <c r="F77" s="22"/>
      <c r="G77" s="22"/>
      <c r="H77" s="22"/>
      <c r="I77" s="22"/>
      <c r="J77" s="22"/>
      <c r="K77" s="22"/>
      <c r="L77" s="22"/>
      <c r="M77" s="22"/>
    </row>
    <row r="79" spans="2:13" ht="18.5" x14ac:dyDescent="0.45">
      <c r="B79" s="5" t="s">
        <v>50</v>
      </c>
    </row>
    <row r="80" spans="2:13" x14ac:dyDescent="0.35">
      <c r="B80" t="s">
        <v>229</v>
      </c>
      <c r="C80" s="38" t="s">
        <v>240</v>
      </c>
    </row>
    <row r="81" spans="2:3" x14ac:dyDescent="0.35">
      <c r="B81" t="s">
        <v>56</v>
      </c>
      <c r="C81" s="18">
        <v>1</v>
      </c>
    </row>
    <row r="82" spans="2:3" x14ac:dyDescent="0.35">
      <c r="B82" t="s">
        <v>57</v>
      </c>
      <c r="C82" s="19">
        <v>2</v>
      </c>
    </row>
    <row r="83" spans="2:3" x14ac:dyDescent="0.35">
      <c r="B83" t="s">
        <v>58</v>
      </c>
      <c r="C83" s="18">
        <v>3</v>
      </c>
    </row>
    <row r="85" spans="2:3" x14ac:dyDescent="0.35">
      <c r="B85" t="s">
        <v>233</v>
      </c>
    </row>
    <row r="86" spans="2:3" x14ac:dyDescent="0.35">
      <c r="B86" t="s">
        <v>231</v>
      </c>
    </row>
    <row r="87" spans="2:3" x14ac:dyDescent="0.35">
      <c r="B87" t="s">
        <v>232</v>
      </c>
    </row>
  </sheetData>
  <sheetProtection algorithmName="SHA-512" hashValue="hwEV+Quzp1m21JYQEN1xA81mMIG4RQl+5s3goYjsn6Wz4Zk1Z48QodL1Cdd3JvjTUs6lEeGLoI5JL54xnNG0oQ==" saltValue="OxRF1wqS/5Pij/QcX9wPTg==" spinCount="100000" sheet="1" selectLockedCells="1" selectUnlockedCells="1"/>
  <sortState xmlns:xlrd2="http://schemas.microsoft.com/office/spreadsheetml/2017/richdata2" ref="D23:D67">
    <sortCondition ref="D23:D67"/>
  </sortState>
  <phoneticPr fontId="2" type="noConversion"/>
  <dataValidations disablePrompts="1" count="2">
    <dataValidation type="list" allowBlank="1" showInputMessage="1" showErrorMessage="1" sqref="Q22" xr:uid="{EC50D411-A873-4C75-8353-616218EFACA1}">
      <formula1>"DD_Thema_2"</formula1>
    </dataValidation>
    <dataValidation type="list" allowBlank="1" showInputMessage="1" showErrorMessage="1" sqref="P20" xr:uid="{9A1CED6B-FD08-41DD-A73D-C8517D2567C6}">
      <formula1>DD_Thema_2</formula1>
    </dataValidation>
  </dataValidations>
  <pageMargins left="0.7" right="0.7" top="0.78740157499999996" bottom="0.78740157499999996"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464BD-CD7C-4DB9-807D-34601E4F43C0}">
  <sheetPr>
    <tabColor theme="3" tint="0.59999389629810485"/>
  </sheetPr>
  <dimension ref="B4:D23"/>
  <sheetViews>
    <sheetView showGridLines="0" zoomScaleNormal="100" workbookViewId="0"/>
  </sheetViews>
  <sheetFormatPr baseColWidth="10" defaultRowHeight="14.5" x14ac:dyDescent="0.35"/>
  <cols>
    <col min="1" max="1" width="8.7265625" customWidth="1"/>
    <col min="2" max="2" width="27" style="1" customWidth="1"/>
    <col min="3" max="3" width="43.81640625" style="6" customWidth="1"/>
    <col min="4" max="4" width="72.453125" customWidth="1"/>
  </cols>
  <sheetData>
    <row r="4" spans="2:4" ht="18.5" x14ac:dyDescent="0.45">
      <c r="B4" s="134" t="s">
        <v>142</v>
      </c>
    </row>
    <row r="6" spans="2:4" s="9" customFormat="1" ht="21.75" customHeight="1" x14ac:dyDescent="0.35">
      <c r="B6" s="223" t="s">
        <v>8</v>
      </c>
      <c r="C6" s="224"/>
    </row>
    <row r="7" spans="2:4" ht="4.5" customHeight="1" x14ac:dyDescent="0.35">
      <c r="B7" s="3"/>
    </row>
    <row r="8" spans="2:4" ht="32.25" customHeight="1" x14ac:dyDescent="0.35">
      <c r="B8" s="219" t="s">
        <v>360</v>
      </c>
      <c r="C8" s="293"/>
    </row>
    <row r="9" spans="2:4" ht="4.5" customHeight="1" x14ac:dyDescent="0.35">
      <c r="B9" s="220"/>
      <c r="C9" s="221"/>
    </row>
    <row r="10" spans="2:4" ht="32.25" customHeight="1" x14ac:dyDescent="0.35">
      <c r="B10" s="219" t="s">
        <v>359</v>
      </c>
      <c r="C10" s="222" t="s">
        <v>49</v>
      </c>
      <c r="D10" s="85"/>
    </row>
    <row r="11" spans="2:4" ht="4.5" customHeight="1" x14ac:dyDescent="0.35">
      <c r="B11" s="220"/>
      <c r="C11" s="221"/>
    </row>
    <row r="12" spans="2:4" ht="32.25" customHeight="1" x14ac:dyDescent="0.35">
      <c r="B12" s="219" t="s">
        <v>207</v>
      </c>
      <c r="C12" s="222"/>
    </row>
    <row r="14" spans="2:4" s="9" customFormat="1" ht="21.75" customHeight="1" x14ac:dyDescent="0.35">
      <c r="B14" s="401" t="s">
        <v>9</v>
      </c>
      <c r="C14" s="401"/>
    </row>
    <row r="15" spans="2:4" ht="4.5" customHeight="1" x14ac:dyDescent="0.35">
      <c r="B15" s="3"/>
    </row>
    <row r="16" spans="2:4" s="9" customFormat="1" ht="21" customHeight="1" x14ac:dyDescent="0.35">
      <c r="B16" s="219" t="s">
        <v>10</v>
      </c>
      <c r="C16" s="222">
        <v>2023</v>
      </c>
    </row>
    <row r="17" spans="2:3" ht="4.5" customHeight="1" x14ac:dyDescent="0.35">
      <c r="B17" s="3"/>
    </row>
    <row r="18" spans="2:3" x14ac:dyDescent="0.35">
      <c r="B18" s="3" t="s">
        <v>24</v>
      </c>
    </row>
    <row r="19" spans="2:3" s="9" customFormat="1" ht="21" customHeight="1" x14ac:dyDescent="0.35">
      <c r="B19" s="219" t="s">
        <v>11</v>
      </c>
      <c r="C19" s="222"/>
    </row>
    <row r="20" spans="2:3" s="9" customFormat="1" ht="21" customHeight="1" x14ac:dyDescent="0.35">
      <c r="B20" s="219" t="s">
        <v>12</v>
      </c>
      <c r="C20" s="222"/>
    </row>
    <row r="21" spans="2:3" s="9" customFormat="1" ht="21" customHeight="1" x14ac:dyDescent="0.35">
      <c r="B21" s="219" t="s">
        <v>13</v>
      </c>
      <c r="C21" s="222"/>
    </row>
    <row r="22" spans="2:3" x14ac:dyDescent="0.35">
      <c r="B22" s="92"/>
      <c r="C22" s="93"/>
    </row>
    <row r="23" spans="2:3" x14ac:dyDescent="0.35">
      <c r="B23" s="94"/>
      <c r="C23" s="93"/>
    </row>
  </sheetData>
  <sheetProtection algorithmName="SHA-512" hashValue="lseo4YjKLg5DEV6UBXHkuAtDLTmsi49bjdHJlcXDfEJzpDclKR4r9hjI3iRG+1Phs1SvnDwIrQp1PNU6BmqWQg==" saltValue="Vt7maBDlAVD0FXF57JZgog==" spinCount="100000" sheet="1" objects="1" scenarios="1"/>
  <mergeCells count="1">
    <mergeCell ref="B14:C14"/>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98F3A37-555D-4387-90FD-449F62CB2440}">
          <x14:formula1>
            <xm:f>INDIRECT(Dropdowns!$B$3)</xm:f>
          </x14:formula1>
          <xm:sqref>C10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CED7-B523-484A-80E6-07ECAACD3D2E}">
  <sheetPr>
    <tabColor theme="3" tint="0.59999389629810485"/>
  </sheetPr>
  <dimension ref="B3:F30"/>
  <sheetViews>
    <sheetView showGridLines="0" zoomScaleNormal="100" workbookViewId="0"/>
  </sheetViews>
  <sheetFormatPr baseColWidth="10" defaultRowHeight="14.5" x14ac:dyDescent="0.35"/>
  <cols>
    <col min="1" max="1" width="8.7265625" customWidth="1"/>
    <col min="2" max="2" width="8.26953125" style="6" customWidth="1"/>
    <col min="3" max="3" width="39" customWidth="1"/>
    <col min="4" max="5" width="26.453125" customWidth="1"/>
    <col min="6" max="6" width="36.26953125" customWidth="1"/>
  </cols>
  <sheetData>
    <row r="3" spans="2:6" x14ac:dyDescent="0.35">
      <c r="B3" s="30" t="str">
        <f>IF(ISBLANK(Stammdaten!$C$8),"",Stammdaten!$C$8)</f>
        <v/>
      </c>
    </row>
    <row r="4" spans="2:6" ht="18.5" x14ac:dyDescent="0.45">
      <c r="B4" s="134" t="s">
        <v>208</v>
      </c>
    </row>
    <row r="5" spans="2:6" ht="15.5" x14ac:dyDescent="0.35">
      <c r="B5" s="17"/>
    </row>
    <row r="6" spans="2:6" ht="18.75" customHeight="1" x14ac:dyDescent="0.35">
      <c r="B6" s="201" t="s">
        <v>209</v>
      </c>
      <c r="C6" s="88"/>
      <c r="D6" s="6"/>
      <c r="E6" s="6"/>
    </row>
    <row r="7" spans="2:6" s="10" customFormat="1" ht="141.75" customHeight="1" x14ac:dyDescent="0.35">
      <c r="B7" s="402" t="s">
        <v>413</v>
      </c>
      <c r="C7" s="402"/>
      <c r="D7" s="402"/>
      <c r="E7" s="402"/>
      <c r="F7" s="402"/>
    </row>
    <row r="8" spans="2:6" ht="7.5" customHeight="1" x14ac:dyDescent="0.35"/>
    <row r="9" spans="2:6" s="10" customFormat="1" ht="29" x14ac:dyDescent="0.35">
      <c r="B9" s="4" t="s">
        <v>119</v>
      </c>
      <c r="C9" s="27" t="s">
        <v>210</v>
      </c>
      <c r="D9" s="27" t="s">
        <v>197</v>
      </c>
      <c r="E9" s="27" t="s">
        <v>211</v>
      </c>
      <c r="F9" s="27" t="s">
        <v>212</v>
      </c>
    </row>
    <row r="10" spans="2:6" s="95" customFormat="1" x14ac:dyDescent="0.35">
      <c r="B10" s="93">
        <f t="shared" ref="B10:B29" si="0">ROW()-9</f>
        <v>1</v>
      </c>
      <c r="C10" s="92"/>
      <c r="F10" s="92"/>
    </row>
    <row r="11" spans="2:6" s="95" customFormat="1" x14ac:dyDescent="0.35">
      <c r="B11" s="93">
        <f t="shared" si="0"/>
        <v>2</v>
      </c>
      <c r="C11" s="92"/>
      <c r="F11" s="92"/>
    </row>
    <row r="12" spans="2:6" s="95" customFormat="1" x14ac:dyDescent="0.35">
      <c r="B12" s="93">
        <f t="shared" si="0"/>
        <v>3</v>
      </c>
      <c r="C12" s="92"/>
      <c r="F12" s="92"/>
    </row>
    <row r="13" spans="2:6" s="95" customFormat="1" x14ac:dyDescent="0.35">
      <c r="B13" s="93">
        <f t="shared" si="0"/>
        <v>4</v>
      </c>
      <c r="C13" s="92"/>
      <c r="F13" s="92"/>
    </row>
    <row r="14" spans="2:6" s="95" customFormat="1" x14ac:dyDescent="0.35">
      <c r="B14" s="93">
        <f t="shared" si="0"/>
        <v>5</v>
      </c>
      <c r="C14" s="92"/>
      <c r="F14" s="92"/>
    </row>
    <row r="15" spans="2:6" s="95" customFormat="1" x14ac:dyDescent="0.35">
      <c r="B15" s="93">
        <f t="shared" si="0"/>
        <v>6</v>
      </c>
      <c r="C15" s="92"/>
      <c r="F15" s="92"/>
    </row>
    <row r="16" spans="2:6" s="95" customFormat="1" x14ac:dyDescent="0.35">
      <c r="B16" s="93">
        <f t="shared" si="0"/>
        <v>7</v>
      </c>
      <c r="C16" s="92"/>
      <c r="F16" s="92"/>
    </row>
    <row r="17" spans="2:6" s="95" customFormat="1" x14ac:dyDescent="0.35">
      <c r="B17" s="93">
        <f t="shared" si="0"/>
        <v>8</v>
      </c>
      <c r="C17" s="92"/>
      <c r="F17" s="92"/>
    </row>
    <row r="18" spans="2:6" s="95" customFormat="1" x14ac:dyDescent="0.35">
      <c r="B18" s="93">
        <f t="shared" si="0"/>
        <v>9</v>
      </c>
      <c r="C18" s="92"/>
      <c r="F18" s="92"/>
    </row>
    <row r="19" spans="2:6" s="95" customFormat="1" x14ac:dyDescent="0.35">
      <c r="B19" s="93">
        <f t="shared" si="0"/>
        <v>10</v>
      </c>
      <c r="C19" s="92"/>
      <c r="F19" s="92"/>
    </row>
    <row r="20" spans="2:6" s="95" customFormat="1" x14ac:dyDescent="0.35">
      <c r="B20" s="93">
        <f t="shared" si="0"/>
        <v>11</v>
      </c>
      <c r="C20" s="92"/>
      <c r="F20" s="92"/>
    </row>
    <row r="21" spans="2:6" s="95" customFormat="1" x14ac:dyDescent="0.35">
      <c r="B21" s="93">
        <f t="shared" si="0"/>
        <v>12</v>
      </c>
      <c r="C21" s="92"/>
      <c r="F21" s="92"/>
    </row>
    <row r="22" spans="2:6" s="95" customFormat="1" x14ac:dyDescent="0.35">
      <c r="B22" s="93">
        <f t="shared" si="0"/>
        <v>13</v>
      </c>
      <c r="C22" s="92"/>
      <c r="F22" s="92"/>
    </row>
    <row r="23" spans="2:6" s="95" customFormat="1" x14ac:dyDescent="0.35">
      <c r="B23" s="93">
        <f t="shared" si="0"/>
        <v>14</v>
      </c>
      <c r="C23" s="92"/>
      <c r="F23" s="92"/>
    </row>
    <row r="24" spans="2:6" s="95" customFormat="1" x14ac:dyDescent="0.35">
      <c r="B24" s="93">
        <f t="shared" si="0"/>
        <v>15</v>
      </c>
      <c r="C24" s="92"/>
      <c r="F24" s="92"/>
    </row>
    <row r="25" spans="2:6" s="95" customFormat="1" x14ac:dyDescent="0.35">
      <c r="B25" s="93">
        <f t="shared" si="0"/>
        <v>16</v>
      </c>
      <c r="C25" s="92"/>
      <c r="F25" s="92"/>
    </row>
    <row r="26" spans="2:6" s="95" customFormat="1" x14ac:dyDescent="0.35">
      <c r="B26" s="93">
        <f t="shared" si="0"/>
        <v>17</v>
      </c>
      <c r="C26" s="92"/>
      <c r="F26" s="92"/>
    </row>
    <row r="27" spans="2:6" s="95" customFormat="1" x14ac:dyDescent="0.35">
      <c r="B27" s="93">
        <f t="shared" si="0"/>
        <v>18</v>
      </c>
      <c r="C27" s="92"/>
      <c r="F27" s="92"/>
    </row>
    <row r="28" spans="2:6" s="95" customFormat="1" x14ac:dyDescent="0.35">
      <c r="B28" s="93">
        <f t="shared" si="0"/>
        <v>19</v>
      </c>
      <c r="C28" s="92"/>
      <c r="F28" s="92"/>
    </row>
    <row r="29" spans="2:6" s="95" customFormat="1" x14ac:dyDescent="0.35">
      <c r="B29" s="93">
        <f t="shared" si="0"/>
        <v>20</v>
      </c>
      <c r="C29" s="92"/>
      <c r="F29" s="92"/>
    </row>
    <row r="30" spans="2:6" ht="32.25" customHeight="1" x14ac:dyDescent="0.35">
      <c r="B30" s="403" t="s">
        <v>312</v>
      </c>
      <c r="C30" s="403"/>
      <c r="D30" s="403"/>
      <c r="E30" s="403"/>
      <c r="F30" s="403"/>
    </row>
  </sheetData>
  <sheetProtection algorithmName="SHA-512" hashValue="dBHEzuwjFtBRu4hwYw3dfex+sEzkNt+LB3SvL4PP2bexm87/er4kzxjQZlPN2B3fqtnBDF1KLzWnCEPzDDAMxg==" saltValue="oIn75V6mBQQLoq3CLhtLDg==" spinCount="100000" sheet="1" insertRows="0" deleteRows="0"/>
  <mergeCells count="2">
    <mergeCell ref="B7:F7"/>
    <mergeCell ref="B30:F30"/>
  </mergeCells>
  <phoneticPr fontId="2" type="noConversion"/>
  <pageMargins left="0.7" right="0.7" top="0.78740157499999996" bottom="0.78740157499999996" header="0.3" footer="0.3"/>
  <pageSetup paperSize="9" orientation="portrait" r:id="rId1"/>
  <ignoredErrors>
    <ignoredError sqref="B10" unlockedFormula="1"/>
  </ignoredErrors>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78B9D-8320-4C80-A847-057DB8861D42}">
  <sheetPr>
    <tabColor rgb="FF4472C4"/>
  </sheetPr>
  <dimension ref="B3:V239"/>
  <sheetViews>
    <sheetView showGridLines="0" zoomScaleNormal="100" workbookViewId="0"/>
  </sheetViews>
  <sheetFormatPr baseColWidth="10" defaultRowHeight="14.5" outlineLevelCol="1" x14ac:dyDescent="0.35"/>
  <cols>
    <col min="1" max="1" width="8.7265625" customWidth="1"/>
    <col min="3" max="3" width="26.453125" hidden="1" customWidth="1" outlineLevel="1"/>
    <col min="4" max="4" width="23.7265625" customWidth="1" collapsed="1"/>
    <col min="5" max="5" width="35.54296875" customWidth="1"/>
    <col min="6" max="6" width="17" customWidth="1"/>
    <col min="7" max="7" width="18" customWidth="1"/>
    <col min="8" max="8" width="19.81640625" customWidth="1"/>
    <col min="9" max="12" width="28.81640625" customWidth="1"/>
    <col min="13" max="13" width="20" hidden="1" customWidth="1" outlineLevel="1"/>
    <col min="14" max="21" width="16.7265625" hidden="1" customWidth="1" outlineLevel="1"/>
    <col min="22" max="22" width="16.7265625" customWidth="1" collapsed="1"/>
    <col min="23" max="29" width="16.7265625" customWidth="1"/>
  </cols>
  <sheetData>
    <row r="3" spans="2:10" x14ac:dyDescent="0.35">
      <c r="B3" s="30" t="str">
        <f>IF(ISBLANK(Stammdaten!$C$8),"",Stammdaten!$C$8)</f>
        <v/>
      </c>
    </row>
    <row r="4" spans="2:10" ht="18.5" x14ac:dyDescent="0.45">
      <c r="B4" s="134" t="s">
        <v>371</v>
      </c>
    </row>
    <row r="5" spans="2:10" ht="62.25" customHeight="1" x14ac:dyDescent="0.35">
      <c r="B5" s="409" t="s">
        <v>393</v>
      </c>
      <c r="C5" s="409"/>
      <c r="D5" s="409"/>
      <c r="E5" s="409"/>
      <c r="F5" s="409"/>
      <c r="G5" s="409"/>
      <c r="I5" s="58"/>
    </row>
    <row r="6" spans="2:10" ht="9.75" customHeight="1" x14ac:dyDescent="0.35">
      <c r="B6" s="28"/>
      <c r="C6" s="28"/>
      <c r="D6" s="28"/>
      <c r="E6" s="28"/>
      <c r="F6" s="28"/>
      <c r="G6" s="28"/>
    </row>
    <row r="7" spans="2:10" ht="18.75" customHeight="1" x14ac:dyDescent="0.45">
      <c r="B7" s="134" t="s">
        <v>216</v>
      </c>
    </row>
    <row r="8" spans="2:10" ht="93.75" customHeight="1" x14ac:dyDescent="0.35">
      <c r="B8" s="409" t="s">
        <v>394</v>
      </c>
      <c r="C8" s="409"/>
      <c r="D8" s="409"/>
      <c r="E8" s="409"/>
      <c r="F8" s="409"/>
      <c r="G8" s="409"/>
    </row>
    <row r="9" spans="2:10" ht="4.5" customHeight="1" x14ac:dyDescent="0.35"/>
    <row r="10" spans="2:10" ht="4.5" customHeight="1" x14ac:dyDescent="0.35"/>
    <row r="11" spans="2:10" ht="29.5" thickBot="1" x14ac:dyDescent="0.4">
      <c r="B11" s="104"/>
      <c r="C11" s="116" t="s">
        <v>79</v>
      </c>
      <c r="D11" s="116" t="s">
        <v>17</v>
      </c>
      <c r="E11" s="114" t="s">
        <v>366</v>
      </c>
      <c r="F11" s="115" t="s">
        <v>134</v>
      </c>
      <c r="G11" s="115" t="s">
        <v>215</v>
      </c>
      <c r="H11" s="12"/>
      <c r="I11" s="12"/>
      <c r="J11" s="12"/>
    </row>
    <row r="12" spans="2:10" s="9" customFormat="1" ht="18" customHeight="1" thickTop="1" x14ac:dyDescent="0.35">
      <c r="B12" s="415" t="s">
        <v>368</v>
      </c>
      <c r="C12" s="105" t="s">
        <v>14</v>
      </c>
      <c r="D12" s="105" t="s">
        <v>73</v>
      </c>
      <c r="E12" s="136" t="s">
        <v>14</v>
      </c>
      <c r="F12" s="106" t="str">
        <f>IF(Wärme[[#Totals],[Ergebnis '[kg CO2e'] (vorausgefüllt)]]=0,"nein","ja")</f>
        <v>nein</v>
      </c>
      <c r="G12" s="111"/>
      <c r="H12" s="55" t="s">
        <v>318</v>
      </c>
      <c r="I12" s="101"/>
      <c r="J12" s="39"/>
    </row>
    <row r="13" spans="2:10" s="9" customFormat="1" ht="18" customHeight="1" x14ac:dyDescent="0.35">
      <c r="B13" s="416"/>
      <c r="C13" s="107" t="s">
        <v>18</v>
      </c>
      <c r="D13" s="107" t="s">
        <v>73</v>
      </c>
      <c r="E13" s="137" t="s">
        <v>18</v>
      </c>
      <c r="F13" s="108" t="str">
        <f>IF(Strom[[#Totals],[Ergebnis '[kg CO2e'] (vorausgefüllt)]]=0,"nein","ja")</f>
        <v>nein</v>
      </c>
      <c r="G13" s="112"/>
      <c r="H13" s="55" t="s">
        <v>319</v>
      </c>
      <c r="I13" s="101"/>
      <c r="J13" s="39"/>
    </row>
    <row r="14" spans="2:10" s="9" customFormat="1" ht="18" customHeight="1" x14ac:dyDescent="0.35">
      <c r="B14" s="416"/>
      <c r="C14" s="109" t="s">
        <v>54</v>
      </c>
      <c r="D14" s="109" t="s">
        <v>73</v>
      </c>
      <c r="E14" s="138" t="s">
        <v>16</v>
      </c>
      <c r="F14" s="110" t="str">
        <f>IF(Kühl_und_Kältemittel[[#Totals],[Ergebnis '[kg CO2e'] (vorausgefüllt)]]=0,"nein","ja")</f>
        <v>nein</v>
      </c>
      <c r="G14" s="113"/>
      <c r="H14" s="55" t="s">
        <v>275</v>
      </c>
      <c r="I14" s="101"/>
      <c r="J14" s="39"/>
    </row>
    <row r="15" spans="2:10" s="9" customFormat="1" ht="18" customHeight="1" x14ac:dyDescent="0.35">
      <c r="B15" s="416"/>
      <c r="C15" s="107" t="s">
        <v>15</v>
      </c>
      <c r="D15" s="107" t="s">
        <v>19</v>
      </c>
      <c r="E15" s="137" t="s">
        <v>15</v>
      </c>
      <c r="F15" s="108" t="str">
        <f>IF(Fuhrpark[[#Totals],[Ergebnis '[kg CO2e'] (vorausgefüllt)]]=0,"nein","ja")</f>
        <v>nein</v>
      </c>
      <c r="G15" s="112"/>
      <c r="H15" s="55" t="s">
        <v>276</v>
      </c>
      <c r="I15" s="101"/>
      <c r="J15" s="39"/>
    </row>
    <row r="16" spans="2:10" s="9" customFormat="1" ht="18" customHeight="1" x14ac:dyDescent="0.35">
      <c r="B16" s="416"/>
      <c r="C16" s="109" t="s">
        <v>21</v>
      </c>
      <c r="D16" s="109" t="s">
        <v>19</v>
      </c>
      <c r="E16" s="138" t="s">
        <v>21</v>
      </c>
      <c r="F16" s="110" t="str">
        <f>IF(Geschäftsreisen[[#Totals],[Ergebnis '[kg CO2e'] (vorausgefüllt)]]=0,"nein","ja")</f>
        <v>nein</v>
      </c>
      <c r="G16" s="113"/>
      <c r="H16" s="55" t="s">
        <v>277</v>
      </c>
      <c r="I16" s="101"/>
      <c r="J16" s="39"/>
    </row>
    <row r="17" spans="2:20" s="9" customFormat="1" ht="18" customHeight="1" x14ac:dyDescent="0.35">
      <c r="B17" s="416"/>
      <c r="C17" s="107" t="s">
        <v>76</v>
      </c>
      <c r="D17" s="107" t="s">
        <v>19</v>
      </c>
      <c r="E17" s="137" t="s">
        <v>74</v>
      </c>
      <c r="F17" s="108" t="str">
        <f>IF(Pendeln_Mitarbeitende[[#Totals],[Ergebnis '[kg CO2e'] (vorausgefüllt)]]=0,"nein","ja")</f>
        <v>nein</v>
      </c>
      <c r="G17" s="112"/>
      <c r="H17" s="55" t="s">
        <v>278</v>
      </c>
      <c r="I17" s="101"/>
      <c r="J17" s="39"/>
    </row>
    <row r="18" spans="2:20" s="9" customFormat="1" ht="18" customHeight="1" x14ac:dyDescent="0.35">
      <c r="B18" s="416"/>
      <c r="C18" s="109" t="s">
        <v>144</v>
      </c>
      <c r="D18" s="109" t="s">
        <v>19</v>
      </c>
      <c r="E18" s="138" t="s">
        <v>144</v>
      </c>
      <c r="F18" s="110" t="str">
        <f>IF(Externe[[#Totals],[Ergebnis '[kg CO2e'] (vorausgefüllt)]]=0,"nein","ja")</f>
        <v>nein</v>
      </c>
      <c r="G18" s="113"/>
      <c r="H18" s="55" t="s">
        <v>279</v>
      </c>
      <c r="I18" s="101"/>
      <c r="J18" s="39"/>
    </row>
    <row r="19" spans="2:20" s="9" customFormat="1" ht="18" customHeight="1" x14ac:dyDescent="0.35">
      <c r="B19" s="416"/>
      <c r="C19" s="107" t="s">
        <v>77</v>
      </c>
      <c r="D19" s="107" t="s">
        <v>19</v>
      </c>
      <c r="E19" s="137" t="s">
        <v>77</v>
      </c>
      <c r="F19" s="108" t="str">
        <f>IF(Warentransporte[[#Totals],[Ergebnis '[kg CO2e'] (vorausgefüllt)]]=0,"nein","ja")</f>
        <v>nein</v>
      </c>
      <c r="G19" s="112"/>
      <c r="H19" s="55" t="s">
        <v>280</v>
      </c>
      <c r="I19" s="101"/>
      <c r="J19" s="39"/>
    </row>
    <row r="20" spans="2:20" x14ac:dyDescent="0.35">
      <c r="H20" s="12"/>
      <c r="I20" s="12"/>
      <c r="J20" s="12"/>
    </row>
    <row r="21" spans="2:20" x14ac:dyDescent="0.35">
      <c r="B21" s="289" t="s">
        <v>237</v>
      </c>
      <c r="C21" s="290"/>
      <c r="D21" s="290"/>
      <c r="E21" s="290"/>
      <c r="F21" s="290"/>
      <c r="G21" s="290"/>
      <c r="H21" s="290"/>
      <c r="I21" s="291"/>
    </row>
    <row r="22" spans="2:20" ht="81" customHeight="1" x14ac:dyDescent="0.35">
      <c r="B22" s="412" t="s">
        <v>367</v>
      </c>
      <c r="C22" s="413"/>
      <c r="D22" s="413"/>
      <c r="E22" s="413"/>
      <c r="F22" s="413"/>
      <c r="G22" s="413"/>
      <c r="H22" s="413"/>
      <c r="I22" s="414"/>
    </row>
    <row r="23" spans="2:20" ht="50.25" customHeight="1" x14ac:dyDescent="0.35"/>
    <row r="24" spans="2:20" x14ac:dyDescent="0.35">
      <c r="B24" s="135" t="s">
        <v>86</v>
      </c>
    </row>
    <row r="25" spans="2:20" ht="18.5" x14ac:dyDescent="0.45">
      <c r="B25" s="134" t="s">
        <v>14</v>
      </c>
    </row>
    <row r="26" spans="2:20" ht="83.25" customHeight="1" x14ac:dyDescent="0.35">
      <c r="B26" s="198" t="s">
        <v>93</v>
      </c>
      <c r="C26" s="199"/>
      <c r="D26" s="410" t="s">
        <v>421</v>
      </c>
      <c r="E26" s="410"/>
      <c r="F26" s="410"/>
      <c r="G26" s="410"/>
      <c r="H26" s="410"/>
      <c r="I26" s="411"/>
    </row>
    <row r="27" spans="2:20" ht="15.75" customHeight="1" x14ac:dyDescent="0.45">
      <c r="C27" t="s">
        <v>14</v>
      </c>
      <c r="M27" s="5"/>
      <c r="N27" s="5"/>
      <c r="O27" s="5"/>
      <c r="P27" s="5"/>
      <c r="Q27" s="5"/>
      <c r="R27" s="5"/>
      <c r="S27" s="5"/>
      <c r="T27" s="5"/>
    </row>
    <row r="28" spans="2:20" s="10" customFormat="1" ht="46" thickBot="1" x14ac:dyDescent="0.4">
      <c r="C28" s="27" t="s">
        <v>51</v>
      </c>
      <c r="D28" s="158" t="s">
        <v>214</v>
      </c>
      <c r="E28" s="158" t="s">
        <v>71</v>
      </c>
      <c r="F28" s="158" t="s">
        <v>72</v>
      </c>
      <c r="G28" s="102" t="s">
        <v>84</v>
      </c>
      <c r="H28" s="158" t="s">
        <v>135</v>
      </c>
      <c r="I28" s="158" t="s">
        <v>321</v>
      </c>
      <c r="J28" s="102" t="s">
        <v>80</v>
      </c>
      <c r="K28" s="102" t="s">
        <v>81</v>
      </c>
      <c r="L28" s="142" t="s">
        <v>322</v>
      </c>
      <c r="M28" s="102" t="s">
        <v>241</v>
      </c>
      <c r="N28" s="102" t="s">
        <v>87</v>
      </c>
      <c r="O28" s="102" t="s">
        <v>89</v>
      </c>
      <c r="P28" s="102" t="s">
        <v>88</v>
      </c>
      <c r="Q28" s="102" t="s">
        <v>92</v>
      </c>
      <c r="R28" s="102" t="s">
        <v>91</v>
      </c>
      <c r="S28" s="102" t="s">
        <v>90</v>
      </c>
    </row>
    <row r="29" spans="2:20" s="95" customFormat="1" ht="15" thickTop="1" x14ac:dyDescent="0.35">
      <c r="B29" s="406" t="s">
        <v>14</v>
      </c>
      <c r="C29" s="10" t="str">
        <f t="shared" ref="C29:C48" si="0">$C$27</f>
        <v>Wärme</v>
      </c>
      <c r="D29" s="96"/>
      <c r="E29" s="96"/>
      <c r="F29" s="313"/>
      <c r="G29" s="10" t="str">
        <f>IFERROR(VLOOKUP(Wärme[[#This Row],[Thema_Bezeichung]],EFs_Wärme[],4,FALSE),"")</f>
        <v/>
      </c>
      <c r="H29" s="96"/>
      <c r="I29" s="96"/>
      <c r="J29" s="96"/>
      <c r="K29" s="96"/>
      <c r="L29" s="309" t="str">
        <f>IF(ISBLANK(Wärme[[#This Row],[Wert 
(Zahl)]]),"", SUM(Wärme[[#This Row],[Scope 1 Ergebnis location-based '[kg CO2e']]:[Scope 3 Ergebnis location-based '[kg CO2e']]]))</f>
        <v/>
      </c>
      <c r="M29" s="15" t="str">
        <f>IF(ISBLANK(Wärme[[#This Row],[Emissionsquelle/Aktivität (Dropdown)]]),"",CONCATENATE(Wärme[[#This Row],[Sektor_Thema]]," - ",Wärme[[#This Row],[Emissionsquelle/Aktivität (Dropdown)]]))</f>
        <v/>
      </c>
      <c r="N29" s="15" t="str">
        <f>IFERROR(VLOOKUP(Wärme[[#This Row],[Thema_Bezeichung]],EFs_Wärme[],5,FALSE),"")</f>
        <v/>
      </c>
      <c r="O29"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29" s="15" t="str">
        <f>IFERROR(VLOOKUP(Wärme[[#This Row],[Thema_Bezeichung]],EFs_Wärme[],7,FALSE),"")</f>
        <v/>
      </c>
      <c r="Q29" s="15" t="str">
        <f>IFERROR(Wärme[[#This Row],[Wert 
(Zahl)]]*Wärme[[#This Row],[Scope 1 Emissionsfaktor '[kg CO2e/Einheit']]],"")</f>
        <v/>
      </c>
      <c r="R29" s="15" t="str">
        <f>IFERROR(Wärme[[#This Row],[Wert 
(Zahl)]]*Wärme[[#This Row],[Scope 2 Emissionsfaktor '[kg CO2e/Einheit']]],"")</f>
        <v/>
      </c>
      <c r="S29" s="15" t="str">
        <f>IFERROR(Wärme[[#This Row],[Wert 
(Zahl)]]*Wärme[[#This Row],[Scope 3 Emissionsfaktor '[kg CO2e/Einheit']]],"")</f>
        <v/>
      </c>
    </row>
    <row r="30" spans="2:20" s="95" customFormat="1" x14ac:dyDescent="0.35">
      <c r="B30" s="407"/>
      <c r="C30" s="10" t="str">
        <f t="shared" si="0"/>
        <v>Wärme</v>
      </c>
      <c r="D30" s="96"/>
      <c r="E30" s="96"/>
      <c r="F30" s="313"/>
      <c r="G30" s="10" t="str">
        <f>IFERROR(VLOOKUP(Wärme[[#This Row],[Thema_Bezeichung]],EFs_Wärme[],4,FALSE),"")</f>
        <v/>
      </c>
      <c r="H30" s="96"/>
      <c r="I30" s="96"/>
      <c r="J30" s="96"/>
      <c r="K30" s="96"/>
      <c r="L30" s="309" t="str">
        <f>IF(ISBLANK(Wärme[[#This Row],[Wert 
(Zahl)]]),"", SUM(Wärme[[#This Row],[Scope 1 Ergebnis location-based '[kg CO2e']]:[Scope 3 Ergebnis location-based '[kg CO2e']]]))</f>
        <v/>
      </c>
      <c r="M30" s="15" t="str">
        <f>IF(ISBLANK(Wärme[[#This Row],[Emissionsquelle/Aktivität (Dropdown)]]),"",CONCATENATE(Wärme[[#This Row],[Sektor_Thema]]," - ",Wärme[[#This Row],[Emissionsquelle/Aktivität (Dropdown)]]))</f>
        <v/>
      </c>
      <c r="N30" s="15" t="str">
        <f>IFERROR(VLOOKUP(Wärme[[#This Row],[Thema_Bezeichung]],EFs_Wärme[],5,FALSE),"")</f>
        <v/>
      </c>
      <c r="O30"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0" s="15" t="str">
        <f>IFERROR(VLOOKUP(Wärme[[#This Row],[Thema_Bezeichung]],EFs_Wärme[],7,FALSE),"")</f>
        <v/>
      </c>
      <c r="Q30" s="15" t="str">
        <f>IFERROR(Wärme[[#This Row],[Wert 
(Zahl)]]*Wärme[[#This Row],[Scope 1 Emissionsfaktor '[kg CO2e/Einheit']]],"")</f>
        <v/>
      </c>
      <c r="R30" s="15" t="str">
        <f>IFERROR(Wärme[[#This Row],[Wert 
(Zahl)]]*Wärme[[#This Row],[Scope 2 Emissionsfaktor '[kg CO2e/Einheit']]],"")</f>
        <v/>
      </c>
      <c r="S30" s="15" t="str">
        <f>IFERROR(Wärme[[#This Row],[Wert 
(Zahl)]]*Wärme[[#This Row],[Scope 3 Emissionsfaktor '[kg CO2e/Einheit']]],"")</f>
        <v/>
      </c>
    </row>
    <row r="31" spans="2:20" s="95" customFormat="1" x14ac:dyDescent="0.35">
      <c r="B31" s="407"/>
      <c r="C31" s="10" t="str">
        <f t="shared" si="0"/>
        <v>Wärme</v>
      </c>
      <c r="D31" s="96"/>
      <c r="E31" s="96"/>
      <c r="F31" s="313"/>
      <c r="G31" s="10" t="str">
        <f>IFERROR(VLOOKUP(Wärme[[#This Row],[Thema_Bezeichung]],EFs_Wärme[],4,FALSE),"")</f>
        <v/>
      </c>
      <c r="H31" s="96"/>
      <c r="I31" s="96"/>
      <c r="J31" s="96"/>
      <c r="K31" s="96"/>
      <c r="L31" s="309" t="str">
        <f>IF(ISBLANK(Wärme[[#This Row],[Wert 
(Zahl)]]),"", SUM(Wärme[[#This Row],[Scope 1 Ergebnis location-based '[kg CO2e']]:[Scope 3 Ergebnis location-based '[kg CO2e']]]))</f>
        <v/>
      </c>
      <c r="M31" s="15" t="str">
        <f>IF(ISBLANK(Wärme[[#This Row],[Emissionsquelle/Aktivität (Dropdown)]]),"",CONCATENATE(Wärme[[#This Row],[Sektor_Thema]]," - ",Wärme[[#This Row],[Emissionsquelle/Aktivität (Dropdown)]]))</f>
        <v/>
      </c>
      <c r="N31" s="15" t="str">
        <f>IFERROR(VLOOKUP(Wärme[[#This Row],[Thema_Bezeichung]],EFs_Wärme[],5,FALSE),"")</f>
        <v/>
      </c>
      <c r="O31"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1" s="15" t="str">
        <f>IFERROR(VLOOKUP(Wärme[[#This Row],[Thema_Bezeichung]],EFs_Wärme[],7,FALSE),"")</f>
        <v/>
      </c>
      <c r="Q31" s="15" t="str">
        <f>IFERROR(Wärme[[#This Row],[Wert 
(Zahl)]]*Wärme[[#This Row],[Scope 1 Emissionsfaktor '[kg CO2e/Einheit']]],"")</f>
        <v/>
      </c>
      <c r="R31" s="15" t="str">
        <f>IFERROR(Wärme[[#This Row],[Wert 
(Zahl)]]*Wärme[[#This Row],[Scope 2 Emissionsfaktor '[kg CO2e/Einheit']]],"")</f>
        <v/>
      </c>
      <c r="S31" s="15" t="str">
        <f>IFERROR(Wärme[[#This Row],[Wert 
(Zahl)]]*Wärme[[#This Row],[Scope 3 Emissionsfaktor '[kg CO2e/Einheit']]],"")</f>
        <v/>
      </c>
    </row>
    <row r="32" spans="2:20" s="95" customFormat="1" x14ac:dyDescent="0.35">
      <c r="B32" s="407"/>
      <c r="C32" s="10" t="str">
        <f t="shared" si="0"/>
        <v>Wärme</v>
      </c>
      <c r="D32" s="96"/>
      <c r="E32" s="96"/>
      <c r="F32" s="313"/>
      <c r="G32" s="10" t="str">
        <f>IFERROR(VLOOKUP(Wärme[[#This Row],[Thema_Bezeichung]],EFs_Wärme[],4,FALSE),"")</f>
        <v/>
      </c>
      <c r="H32" s="96"/>
      <c r="I32" s="96"/>
      <c r="J32" s="96"/>
      <c r="K32" s="96"/>
      <c r="L32" s="309" t="str">
        <f>IF(ISBLANK(Wärme[[#This Row],[Wert 
(Zahl)]]),"", SUM(Wärme[[#This Row],[Scope 1 Ergebnis location-based '[kg CO2e']]:[Scope 3 Ergebnis location-based '[kg CO2e']]]))</f>
        <v/>
      </c>
      <c r="M32" s="15" t="str">
        <f>IF(ISBLANK(Wärme[[#This Row],[Emissionsquelle/Aktivität (Dropdown)]]),"",CONCATENATE(Wärme[[#This Row],[Sektor_Thema]]," - ",Wärme[[#This Row],[Emissionsquelle/Aktivität (Dropdown)]]))</f>
        <v/>
      </c>
      <c r="N32" s="15" t="str">
        <f>IFERROR(VLOOKUP(Wärme[[#This Row],[Thema_Bezeichung]],EFs_Wärme[],5,FALSE),"")</f>
        <v/>
      </c>
      <c r="O32"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2" s="15" t="str">
        <f>IFERROR(VLOOKUP(Wärme[[#This Row],[Thema_Bezeichung]],EFs_Wärme[],7,FALSE),"")</f>
        <v/>
      </c>
      <c r="Q32" s="15" t="str">
        <f>IFERROR(Wärme[[#This Row],[Wert 
(Zahl)]]*Wärme[[#This Row],[Scope 1 Emissionsfaktor '[kg CO2e/Einheit']]],"")</f>
        <v/>
      </c>
      <c r="R32" s="15" t="str">
        <f>IFERROR(Wärme[[#This Row],[Wert 
(Zahl)]]*Wärme[[#This Row],[Scope 2 Emissionsfaktor '[kg CO2e/Einheit']]],"")</f>
        <v/>
      </c>
      <c r="S32" s="15" t="str">
        <f>IFERROR(Wärme[[#This Row],[Wert 
(Zahl)]]*Wärme[[#This Row],[Scope 3 Emissionsfaktor '[kg CO2e/Einheit']]],"")</f>
        <v/>
      </c>
    </row>
    <row r="33" spans="2:19" s="95" customFormat="1" x14ac:dyDescent="0.35">
      <c r="B33" s="407"/>
      <c r="C33" s="10" t="str">
        <f t="shared" si="0"/>
        <v>Wärme</v>
      </c>
      <c r="D33" s="96"/>
      <c r="E33" s="96"/>
      <c r="F33" s="313"/>
      <c r="G33" s="10" t="str">
        <f>IFERROR(VLOOKUP(Wärme[[#This Row],[Thema_Bezeichung]],EFs_Wärme[],4,FALSE),"")</f>
        <v/>
      </c>
      <c r="H33" s="96"/>
      <c r="I33" s="96"/>
      <c r="J33" s="96"/>
      <c r="K33" s="96"/>
      <c r="L33" s="309" t="str">
        <f>IF(ISBLANK(Wärme[[#This Row],[Wert 
(Zahl)]]),"", SUM(Wärme[[#This Row],[Scope 1 Ergebnis location-based '[kg CO2e']]:[Scope 3 Ergebnis location-based '[kg CO2e']]]))</f>
        <v/>
      </c>
      <c r="M33" s="15" t="str">
        <f>IF(ISBLANK(Wärme[[#This Row],[Emissionsquelle/Aktivität (Dropdown)]]),"",CONCATENATE(Wärme[[#This Row],[Sektor_Thema]]," - ",Wärme[[#This Row],[Emissionsquelle/Aktivität (Dropdown)]]))</f>
        <v/>
      </c>
      <c r="N33" s="15" t="str">
        <f>IFERROR(VLOOKUP(Wärme[[#This Row],[Thema_Bezeichung]],EFs_Wärme[],5,FALSE),"")</f>
        <v/>
      </c>
      <c r="O33"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3" s="15" t="str">
        <f>IFERROR(VLOOKUP(Wärme[[#This Row],[Thema_Bezeichung]],EFs_Wärme[],7,FALSE),"")</f>
        <v/>
      </c>
      <c r="Q33" s="15" t="str">
        <f>IFERROR(Wärme[[#This Row],[Wert 
(Zahl)]]*Wärme[[#This Row],[Scope 1 Emissionsfaktor '[kg CO2e/Einheit']]],"")</f>
        <v/>
      </c>
      <c r="R33" s="15" t="str">
        <f>IFERROR(Wärme[[#This Row],[Wert 
(Zahl)]]*Wärme[[#This Row],[Scope 2 Emissionsfaktor '[kg CO2e/Einheit']]],"")</f>
        <v/>
      </c>
      <c r="S33" s="15" t="str">
        <f>IFERROR(Wärme[[#This Row],[Wert 
(Zahl)]]*Wärme[[#This Row],[Scope 3 Emissionsfaktor '[kg CO2e/Einheit']]],"")</f>
        <v/>
      </c>
    </row>
    <row r="34" spans="2:19" s="95" customFormat="1" x14ac:dyDescent="0.35">
      <c r="B34" s="407"/>
      <c r="C34" s="10" t="str">
        <f t="shared" si="0"/>
        <v>Wärme</v>
      </c>
      <c r="D34" s="96"/>
      <c r="E34" s="96"/>
      <c r="F34" s="313"/>
      <c r="G34" s="10" t="str">
        <f>IFERROR(VLOOKUP(Wärme[[#This Row],[Thema_Bezeichung]],EFs_Wärme[],4,FALSE),"")</f>
        <v/>
      </c>
      <c r="H34" s="96"/>
      <c r="I34" s="96"/>
      <c r="J34" s="96"/>
      <c r="K34" s="96"/>
      <c r="L34" s="309" t="str">
        <f>IF(ISBLANK(Wärme[[#This Row],[Wert 
(Zahl)]]),"", SUM(Wärme[[#This Row],[Scope 1 Ergebnis location-based '[kg CO2e']]:[Scope 3 Ergebnis location-based '[kg CO2e']]]))</f>
        <v/>
      </c>
      <c r="M34" s="15" t="str">
        <f>IF(ISBLANK(Wärme[[#This Row],[Emissionsquelle/Aktivität (Dropdown)]]),"",CONCATENATE(Wärme[[#This Row],[Sektor_Thema]]," - ",Wärme[[#This Row],[Emissionsquelle/Aktivität (Dropdown)]]))</f>
        <v/>
      </c>
      <c r="N34" s="15" t="str">
        <f>IFERROR(VLOOKUP(Wärme[[#This Row],[Thema_Bezeichung]],EFs_Wärme[],5,FALSE),"")</f>
        <v/>
      </c>
      <c r="O34"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4" s="15" t="str">
        <f>IFERROR(VLOOKUP(Wärme[[#This Row],[Thema_Bezeichung]],EFs_Wärme[],7,FALSE),"")</f>
        <v/>
      </c>
      <c r="Q34" s="15" t="str">
        <f>IFERROR(Wärme[[#This Row],[Wert 
(Zahl)]]*Wärme[[#This Row],[Scope 1 Emissionsfaktor '[kg CO2e/Einheit']]],"")</f>
        <v/>
      </c>
      <c r="R34" s="15" t="str">
        <f>IFERROR(Wärme[[#This Row],[Wert 
(Zahl)]]*Wärme[[#This Row],[Scope 2 Emissionsfaktor '[kg CO2e/Einheit']]],"")</f>
        <v/>
      </c>
      <c r="S34" s="15" t="str">
        <f>IFERROR(Wärme[[#This Row],[Wert 
(Zahl)]]*Wärme[[#This Row],[Scope 3 Emissionsfaktor '[kg CO2e/Einheit']]],"")</f>
        <v/>
      </c>
    </row>
    <row r="35" spans="2:19" s="95" customFormat="1" x14ac:dyDescent="0.35">
      <c r="B35" s="407"/>
      <c r="C35" s="10" t="str">
        <f t="shared" si="0"/>
        <v>Wärme</v>
      </c>
      <c r="D35" s="96"/>
      <c r="E35" s="96"/>
      <c r="F35" s="313"/>
      <c r="G35" s="10" t="str">
        <f>IFERROR(VLOOKUP(Wärme[[#This Row],[Thema_Bezeichung]],EFs_Wärme[],4,FALSE),"")</f>
        <v/>
      </c>
      <c r="H35" s="96"/>
      <c r="I35" s="96"/>
      <c r="J35" s="96"/>
      <c r="K35" s="96"/>
      <c r="L35" s="309" t="str">
        <f>IF(ISBLANK(Wärme[[#This Row],[Wert 
(Zahl)]]),"", SUM(Wärme[[#This Row],[Scope 1 Ergebnis location-based '[kg CO2e']]:[Scope 3 Ergebnis location-based '[kg CO2e']]]))</f>
        <v/>
      </c>
      <c r="M35" s="15" t="str">
        <f>IF(ISBLANK(Wärme[[#This Row],[Emissionsquelle/Aktivität (Dropdown)]]),"",CONCATENATE(Wärme[[#This Row],[Sektor_Thema]]," - ",Wärme[[#This Row],[Emissionsquelle/Aktivität (Dropdown)]]))</f>
        <v/>
      </c>
      <c r="N35" s="15" t="str">
        <f>IFERROR(VLOOKUP(Wärme[[#This Row],[Thema_Bezeichung]],EFs_Wärme[],5,FALSE),"")</f>
        <v/>
      </c>
      <c r="O35"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5" s="15" t="str">
        <f>IFERROR(VLOOKUP(Wärme[[#This Row],[Thema_Bezeichung]],EFs_Wärme[],7,FALSE),"")</f>
        <v/>
      </c>
      <c r="Q35" s="15" t="str">
        <f>IFERROR(Wärme[[#This Row],[Wert 
(Zahl)]]*Wärme[[#This Row],[Scope 1 Emissionsfaktor '[kg CO2e/Einheit']]],"")</f>
        <v/>
      </c>
      <c r="R35" s="15" t="str">
        <f>IFERROR(Wärme[[#This Row],[Wert 
(Zahl)]]*Wärme[[#This Row],[Scope 2 Emissionsfaktor '[kg CO2e/Einheit']]],"")</f>
        <v/>
      </c>
      <c r="S35" s="15" t="str">
        <f>IFERROR(Wärme[[#This Row],[Wert 
(Zahl)]]*Wärme[[#This Row],[Scope 3 Emissionsfaktor '[kg CO2e/Einheit']]],"")</f>
        <v/>
      </c>
    </row>
    <row r="36" spans="2:19" s="95" customFormat="1" x14ac:dyDescent="0.35">
      <c r="B36" s="407"/>
      <c r="C36" s="10" t="str">
        <f t="shared" si="0"/>
        <v>Wärme</v>
      </c>
      <c r="D36" s="96"/>
      <c r="E36" s="96"/>
      <c r="F36" s="313"/>
      <c r="G36" s="10" t="str">
        <f>IFERROR(VLOOKUP(Wärme[[#This Row],[Thema_Bezeichung]],EFs_Wärme[],4,FALSE),"")</f>
        <v/>
      </c>
      <c r="H36" s="96"/>
      <c r="I36" s="96"/>
      <c r="J36" s="96"/>
      <c r="K36" s="96"/>
      <c r="L36" s="309" t="str">
        <f>IF(ISBLANK(Wärme[[#This Row],[Wert 
(Zahl)]]),"", SUM(Wärme[[#This Row],[Scope 1 Ergebnis location-based '[kg CO2e']]:[Scope 3 Ergebnis location-based '[kg CO2e']]]))</f>
        <v/>
      </c>
      <c r="M36" s="15" t="str">
        <f>IF(ISBLANK(Wärme[[#This Row],[Emissionsquelle/Aktivität (Dropdown)]]),"",CONCATENATE(Wärme[[#This Row],[Sektor_Thema]]," - ",Wärme[[#This Row],[Emissionsquelle/Aktivität (Dropdown)]]))</f>
        <v/>
      </c>
      <c r="N36" s="15" t="str">
        <f>IFERROR(VLOOKUP(Wärme[[#This Row],[Thema_Bezeichung]],EFs_Wärme[],5,FALSE),"")</f>
        <v/>
      </c>
      <c r="O36"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6" s="15" t="str">
        <f>IFERROR(VLOOKUP(Wärme[[#This Row],[Thema_Bezeichung]],EFs_Wärme[],7,FALSE),"")</f>
        <v/>
      </c>
      <c r="Q36" s="15" t="str">
        <f>IFERROR(Wärme[[#This Row],[Wert 
(Zahl)]]*Wärme[[#This Row],[Scope 1 Emissionsfaktor '[kg CO2e/Einheit']]],"")</f>
        <v/>
      </c>
      <c r="R36" s="15" t="str">
        <f>IFERROR(Wärme[[#This Row],[Wert 
(Zahl)]]*Wärme[[#This Row],[Scope 2 Emissionsfaktor '[kg CO2e/Einheit']]],"")</f>
        <v/>
      </c>
      <c r="S36" s="15" t="str">
        <f>IFERROR(Wärme[[#This Row],[Wert 
(Zahl)]]*Wärme[[#This Row],[Scope 3 Emissionsfaktor '[kg CO2e/Einheit']]],"")</f>
        <v/>
      </c>
    </row>
    <row r="37" spans="2:19" s="95" customFormat="1" x14ac:dyDescent="0.35">
      <c r="B37" s="407"/>
      <c r="C37" s="10" t="str">
        <f t="shared" si="0"/>
        <v>Wärme</v>
      </c>
      <c r="D37" s="96"/>
      <c r="E37" s="96"/>
      <c r="F37" s="313"/>
      <c r="G37" s="10" t="str">
        <f>IFERROR(VLOOKUP(Wärme[[#This Row],[Thema_Bezeichung]],EFs_Wärme[],4,FALSE),"")</f>
        <v/>
      </c>
      <c r="H37" s="96"/>
      <c r="I37" s="96"/>
      <c r="J37" s="96"/>
      <c r="K37" s="96"/>
      <c r="L37" s="309" t="str">
        <f>IF(ISBLANK(Wärme[[#This Row],[Wert 
(Zahl)]]),"", SUM(Wärme[[#This Row],[Scope 1 Ergebnis location-based '[kg CO2e']]:[Scope 3 Ergebnis location-based '[kg CO2e']]]))</f>
        <v/>
      </c>
      <c r="M37" s="15" t="str">
        <f>IF(ISBLANK(Wärme[[#This Row],[Emissionsquelle/Aktivität (Dropdown)]]),"",CONCATENATE(Wärme[[#This Row],[Sektor_Thema]]," - ",Wärme[[#This Row],[Emissionsquelle/Aktivität (Dropdown)]]))</f>
        <v/>
      </c>
      <c r="N37" s="15" t="str">
        <f>IFERROR(VLOOKUP(Wärme[[#This Row],[Thema_Bezeichung]],EFs_Wärme[],5,FALSE),"")</f>
        <v/>
      </c>
      <c r="O37"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7" s="15" t="str">
        <f>IFERROR(VLOOKUP(Wärme[[#This Row],[Thema_Bezeichung]],EFs_Wärme[],7,FALSE),"")</f>
        <v/>
      </c>
      <c r="Q37" s="15" t="str">
        <f>IFERROR(Wärme[[#This Row],[Wert 
(Zahl)]]*Wärme[[#This Row],[Scope 1 Emissionsfaktor '[kg CO2e/Einheit']]],"")</f>
        <v/>
      </c>
      <c r="R37" s="15" t="str">
        <f>IFERROR(Wärme[[#This Row],[Wert 
(Zahl)]]*Wärme[[#This Row],[Scope 2 Emissionsfaktor '[kg CO2e/Einheit']]],"")</f>
        <v/>
      </c>
      <c r="S37" s="15" t="str">
        <f>IFERROR(Wärme[[#This Row],[Wert 
(Zahl)]]*Wärme[[#This Row],[Scope 3 Emissionsfaktor '[kg CO2e/Einheit']]],"")</f>
        <v/>
      </c>
    </row>
    <row r="38" spans="2:19" s="95" customFormat="1" x14ac:dyDescent="0.35">
      <c r="B38" s="407"/>
      <c r="C38" s="10" t="str">
        <f t="shared" si="0"/>
        <v>Wärme</v>
      </c>
      <c r="D38" s="96"/>
      <c r="E38" s="96"/>
      <c r="F38" s="313"/>
      <c r="G38" s="10" t="str">
        <f>IFERROR(VLOOKUP(Wärme[[#This Row],[Thema_Bezeichung]],EFs_Wärme[],4,FALSE),"")</f>
        <v/>
      </c>
      <c r="H38" s="96"/>
      <c r="I38" s="96"/>
      <c r="J38" s="96"/>
      <c r="K38" s="96"/>
      <c r="L38" s="309" t="str">
        <f>IF(ISBLANK(Wärme[[#This Row],[Wert 
(Zahl)]]),"", SUM(Wärme[[#This Row],[Scope 1 Ergebnis location-based '[kg CO2e']]:[Scope 3 Ergebnis location-based '[kg CO2e']]]))</f>
        <v/>
      </c>
      <c r="M38" s="15" t="str">
        <f>IF(ISBLANK(Wärme[[#This Row],[Emissionsquelle/Aktivität (Dropdown)]]),"",CONCATENATE(Wärme[[#This Row],[Sektor_Thema]]," - ",Wärme[[#This Row],[Emissionsquelle/Aktivität (Dropdown)]]))</f>
        <v/>
      </c>
      <c r="N38" s="15" t="str">
        <f>IFERROR(VLOOKUP(Wärme[[#This Row],[Thema_Bezeichung]],EFs_Wärme[],5,FALSE),"")</f>
        <v/>
      </c>
      <c r="O38"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8" s="15" t="str">
        <f>IFERROR(VLOOKUP(Wärme[[#This Row],[Thema_Bezeichung]],EFs_Wärme[],7,FALSE),"")</f>
        <v/>
      </c>
      <c r="Q38" s="15" t="str">
        <f>IFERROR(Wärme[[#This Row],[Wert 
(Zahl)]]*Wärme[[#This Row],[Scope 1 Emissionsfaktor '[kg CO2e/Einheit']]],"")</f>
        <v/>
      </c>
      <c r="R38" s="15" t="str">
        <f>IFERROR(Wärme[[#This Row],[Wert 
(Zahl)]]*Wärme[[#This Row],[Scope 2 Emissionsfaktor '[kg CO2e/Einheit']]],"")</f>
        <v/>
      </c>
      <c r="S38" s="15" t="str">
        <f>IFERROR(Wärme[[#This Row],[Wert 
(Zahl)]]*Wärme[[#This Row],[Scope 3 Emissionsfaktor '[kg CO2e/Einheit']]],"")</f>
        <v/>
      </c>
    </row>
    <row r="39" spans="2:19" s="95" customFormat="1" x14ac:dyDescent="0.35">
      <c r="B39" s="407"/>
      <c r="C39" s="10" t="str">
        <f t="shared" si="0"/>
        <v>Wärme</v>
      </c>
      <c r="D39" s="96"/>
      <c r="E39" s="96"/>
      <c r="F39" s="313"/>
      <c r="G39" s="10" t="str">
        <f>IFERROR(VLOOKUP(Wärme[[#This Row],[Thema_Bezeichung]],EFs_Wärme[],4,FALSE),"")</f>
        <v/>
      </c>
      <c r="H39" s="96"/>
      <c r="I39" s="96"/>
      <c r="J39" s="96"/>
      <c r="K39" s="96"/>
      <c r="L39" s="309" t="str">
        <f>IF(ISBLANK(Wärme[[#This Row],[Wert 
(Zahl)]]),"", SUM(Wärme[[#This Row],[Scope 1 Ergebnis location-based '[kg CO2e']]:[Scope 3 Ergebnis location-based '[kg CO2e']]]))</f>
        <v/>
      </c>
      <c r="M39" s="15" t="str">
        <f>IF(ISBLANK(Wärme[[#This Row],[Emissionsquelle/Aktivität (Dropdown)]]),"",CONCATENATE(Wärme[[#This Row],[Sektor_Thema]]," - ",Wärme[[#This Row],[Emissionsquelle/Aktivität (Dropdown)]]))</f>
        <v/>
      </c>
      <c r="N39" s="15" t="str">
        <f>IFERROR(VLOOKUP(Wärme[[#This Row],[Thema_Bezeichung]],EFs_Wärme[],5,FALSE),"")</f>
        <v/>
      </c>
      <c r="O39"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39" s="15" t="str">
        <f>IFERROR(VLOOKUP(Wärme[[#This Row],[Thema_Bezeichung]],EFs_Wärme[],7,FALSE),"")</f>
        <v/>
      </c>
      <c r="Q39" s="15" t="str">
        <f>IFERROR(Wärme[[#This Row],[Wert 
(Zahl)]]*Wärme[[#This Row],[Scope 1 Emissionsfaktor '[kg CO2e/Einheit']]],"")</f>
        <v/>
      </c>
      <c r="R39" s="15" t="str">
        <f>IFERROR(Wärme[[#This Row],[Wert 
(Zahl)]]*Wärme[[#This Row],[Scope 2 Emissionsfaktor '[kg CO2e/Einheit']]],"")</f>
        <v/>
      </c>
      <c r="S39" s="15" t="str">
        <f>IFERROR(Wärme[[#This Row],[Wert 
(Zahl)]]*Wärme[[#This Row],[Scope 3 Emissionsfaktor '[kg CO2e/Einheit']]],"")</f>
        <v/>
      </c>
    </row>
    <row r="40" spans="2:19" s="95" customFormat="1" x14ac:dyDescent="0.35">
      <c r="B40" s="407"/>
      <c r="C40" s="10" t="str">
        <f t="shared" si="0"/>
        <v>Wärme</v>
      </c>
      <c r="D40" s="96"/>
      <c r="E40" s="96"/>
      <c r="F40" s="313"/>
      <c r="G40" s="10" t="str">
        <f>IFERROR(VLOOKUP(Wärme[[#This Row],[Thema_Bezeichung]],EFs_Wärme[],4,FALSE),"")</f>
        <v/>
      </c>
      <c r="H40" s="96"/>
      <c r="I40" s="96"/>
      <c r="J40" s="96"/>
      <c r="K40" s="96"/>
      <c r="L40" s="309" t="str">
        <f>IF(ISBLANK(Wärme[[#This Row],[Wert 
(Zahl)]]),"", SUM(Wärme[[#This Row],[Scope 1 Ergebnis location-based '[kg CO2e']]:[Scope 3 Ergebnis location-based '[kg CO2e']]]))</f>
        <v/>
      </c>
      <c r="M40" s="15" t="str">
        <f>IF(ISBLANK(Wärme[[#This Row],[Emissionsquelle/Aktivität (Dropdown)]]),"",CONCATENATE(Wärme[[#This Row],[Sektor_Thema]]," - ",Wärme[[#This Row],[Emissionsquelle/Aktivität (Dropdown)]]))</f>
        <v/>
      </c>
      <c r="N40" s="15" t="str">
        <f>IFERROR(VLOOKUP(Wärme[[#This Row],[Thema_Bezeichung]],EFs_Wärme[],5,FALSE),"")</f>
        <v/>
      </c>
      <c r="O40"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0" s="15" t="str">
        <f>IFERROR(VLOOKUP(Wärme[[#This Row],[Thema_Bezeichung]],EFs_Wärme[],7,FALSE),"")</f>
        <v/>
      </c>
      <c r="Q40" s="15" t="str">
        <f>IFERROR(Wärme[[#This Row],[Wert 
(Zahl)]]*Wärme[[#This Row],[Scope 1 Emissionsfaktor '[kg CO2e/Einheit']]],"")</f>
        <v/>
      </c>
      <c r="R40" s="15" t="str">
        <f>IFERROR(Wärme[[#This Row],[Wert 
(Zahl)]]*Wärme[[#This Row],[Scope 2 Emissionsfaktor '[kg CO2e/Einheit']]],"")</f>
        <v/>
      </c>
      <c r="S40" s="15" t="str">
        <f>IFERROR(Wärme[[#This Row],[Wert 
(Zahl)]]*Wärme[[#This Row],[Scope 3 Emissionsfaktor '[kg CO2e/Einheit']]],"")</f>
        <v/>
      </c>
    </row>
    <row r="41" spans="2:19" s="95" customFormat="1" x14ac:dyDescent="0.35">
      <c r="B41" s="407"/>
      <c r="C41" s="10" t="str">
        <f t="shared" si="0"/>
        <v>Wärme</v>
      </c>
      <c r="D41" s="96"/>
      <c r="E41" s="96"/>
      <c r="F41" s="313"/>
      <c r="G41" s="10" t="str">
        <f>IFERROR(VLOOKUP(Wärme[[#This Row],[Thema_Bezeichung]],EFs_Wärme[],4,FALSE),"")</f>
        <v/>
      </c>
      <c r="H41" s="96"/>
      <c r="I41" s="96"/>
      <c r="J41" s="96"/>
      <c r="K41" s="96"/>
      <c r="L41" s="309" t="str">
        <f>IF(ISBLANK(Wärme[[#This Row],[Wert 
(Zahl)]]),"", SUM(Wärme[[#This Row],[Scope 1 Ergebnis location-based '[kg CO2e']]:[Scope 3 Ergebnis location-based '[kg CO2e']]]))</f>
        <v/>
      </c>
      <c r="M41" s="15" t="str">
        <f>IF(ISBLANK(Wärme[[#This Row],[Emissionsquelle/Aktivität (Dropdown)]]),"",CONCATENATE(Wärme[[#This Row],[Sektor_Thema]]," - ",Wärme[[#This Row],[Emissionsquelle/Aktivität (Dropdown)]]))</f>
        <v/>
      </c>
      <c r="N41" s="15" t="str">
        <f>IFERROR(VLOOKUP(Wärme[[#This Row],[Thema_Bezeichung]],EFs_Wärme[],5,FALSE),"")</f>
        <v/>
      </c>
      <c r="O41"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1" s="15" t="str">
        <f>IFERROR(VLOOKUP(Wärme[[#This Row],[Thema_Bezeichung]],EFs_Wärme[],7,FALSE),"")</f>
        <v/>
      </c>
      <c r="Q41" s="15" t="str">
        <f>IFERROR(Wärme[[#This Row],[Wert 
(Zahl)]]*Wärme[[#This Row],[Scope 1 Emissionsfaktor '[kg CO2e/Einheit']]],"")</f>
        <v/>
      </c>
      <c r="R41" s="15" t="str">
        <f>IFERROR(Wärme[[#This Row],[Wert 
(Zahl)]]*Wärme[[#This Row],[Scope 2 Emissionsfaktor '[kg CO2e/Einheit']]],"")</f>
        <v/>
      </c>
      <c r="S41" s="15" t="str">
        <f>IFERROR(Wärme[[#This Row],[Wert 
(Zahl)]]*Wärme[[#This Row],[Scope 3 Emissionsfaktor '[kg CO2e/Einheit']]],"")</f>
        <v/>
      </c>
    </row>
    <row r="42" spans="2:19" s="95" customFormat="1" x14ac:dyDescent="0.35">
      <c r="B42" s="407"/>
      <c r="C42" s="10" t="str">
        <f t="shared" si="0"/>
        <v>Wärme</v>
      </c>
      <c r="D42" s="96"/>
      <c r="E42" s="96"/>
      <c r="F42" s="313"/>
      <c r="G42" s="10" t="str">
        <f>IFERROR(VLOOKUP(Wärme[[#This Row],[Thema_Bezeichung]],EFs_Wärme[],4,FALSE),"")</f>
        <v/>
      </c>
      <c r="H42" s="96"/>
      <c r="I42" s="96"/>
      <c r="J42" s="96"/>
      <c r="K42" s="96"/>
      <c r="L42" s="309" t="str">
        <f>IF(ISBLANK(Wärme[[#This Row],[Wert 
(Zahl)]]),"", SUM(Wärme[[#This Row],[Scope 1 Ergebnis location-based '[kg CO2e']]:[Scope 3 Ergebnis location-based '[kg CO2e']]]))</f>
        <v/>
      </c>
      <c r="M42" s="15" t="str">
        <f>IF(ISBLANK(Wärme[[#This Row],[Emissionsquelle/Aktivität (Dropdown)]]),"",CONCATENATE(Wärme[[#This Row],[Sektor_Thema]]," - ",Wärme[[#This Row],[Emissionsquelle/Aktivität (Dropdown)]]))</f>
        <v/>
      </c>
      <c r="N42" s="15" t="str">
        <f>IFERROR(VLOOKUP(Wärme[[#This Row],[Thema_Bezeichung]],EFs_Wärme[],5,FALSE),"")</f>
        <v/>
      </c>
      <c r="O42"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2" s="15" t="str">
        <f>IFERROR(VLOOKUP(Wärme[[#This Row],[Thema_Bezeichung]],EFs_Wärme[],7,FALSE),"")</f>
        <v/>
      </c>
      <c r="Q42" s="15" t="str">
        <f>IFERROR(Wärme[[#This Row],[Wert 
(Zahl)]]*Wärme[[#This Row],[Scope 1 Emissionsfaktor '[kg CO2e/Einheit']]],"")</f>
        <v/>
      </c>
      <c r="R42" s="15" t="str">
        <f>IFERROR(Wärme[[#This Row],[Wert 
(Zahl)]]*Wärme[[#This Row],[Scope 2 Emissionsfaktor '[kg CO2e/Einheit']]],"")</f>
        <v/>
      </c>
      <c r="S42" s="15" t="str">
        <f>IFERROR(Wärme[[#This Row],[Wert 
(Zahl)]]*Wärme[[#This Row],[Scope 3 Emissionsfaktor '[kg CO2e/Einheit']]],"")</f>
        <v/>
      </c>
    </row>
    <row r="43" spans="2:19" s="95" customFormat="1" x14ac:dyDescent="0.35">
      <c r="B43" s="407"/>
      <c r="C43" s="10" t="str">
        <f t="shared" si="0"/>
        <v>Wärme</v>
      </c>
      <c r="D43" s="96"/>
      <c r="E43" s="96"/>
      <c r="F43" s="313"/>
      <c r="G43" s="10" t="str">
        <f>IFERROR(VLOOKUP(Wärme[[#This Row],[Thema_Bezeichung]],EFs_Wärme[],4,FALSE),"")</f>
        <v/>
      </c>
      <c r="H43" s="96"/>
      <c r="I43" s="96"/>
      <c r="J43" s="96"/>
      <c r="K43" s="96"/>
      <c r="L43" s="309" t="str">
        <f>IF(ISBLANK(Wärme[[#This Row],[Wert 
(Zahl)]]),"", SUM(Wärme[[#This Row],[Scope 1 Ergebnis location-based '[kg CO2e']]:[Scope 3 Ergebnis location-based '[kg CO2e']]]))</f>
        <v/>
      </c>
      <c r="M43" s="15" t="str">
        <f>IF(ISBLANK(Wärme[[#This Row],[Emissionsquelle/Aktivität (Dropdown)]]),"",CONCATENATE(Wärme[[#This Row],[Sektor_Thema]]," - ",Wärme[[#This Row],[Emissionsquelle/Aktivität (Dropdown)]]))</f>
        <v/>
      </c>
      <c r="N43" s="15" t="str">
        <f>IFERROR(VLOOKUP(Wärme[[#This Row],[Thema_Bezeichung]],EFs_Wärme[],5,FALSE),"")</f>
        <v/>
      </c>
      <c r="O43"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3" s="15" t="str">
        <f>IFERROR(VLOOKUP(Wärme[[#This Row],[Thema_Bezeichung]],EFs_Wärme[],7,FALSE),"")</f>
        <v/>
      </c>
      <c r="Q43" s="15" t="str">
        <f>IFERROR(Wärme[[#This Row],[Wert 
(Zahl)]]*Wärme[[#This Row],[Scope 1 Emissionsfaktor '[kg CO2e/Einheit']]],"")</f>
        <v/>
      </c>
      <c r="R43" s="15" t="str">
        <f>IFERROR(Wärme[[#This Row],[Wert 
(Zahl)]]*Wärme[[#This Row],[Scope 2 Emissionsfaktor '[kg CO2e/Einheit']]],"")</f>
        <v/>
      </c>
      <c r="S43" s="15" t="str">
        <f>IFERROR(Wärme[[#This Row],[Wert 
(Zahl)]]*Wärme[[#This Row],[Scope 3 Emissionsfaktor '[kg CO2e/Einheit']]],"")</f>
        <v/>
      </c>
    </row>
    <row r="44" spans="2:19" s="95" customFormat="1" x14ac:dyDescent="0.35">
      <c r="B44" s="407"/>
      <c r="C44" s="10" t="str">
        <f t="shared" si="0"/>
        <v>Wärme</v>
      </c>
      <c r="D44" s="96"/>
      <c r="E44" s="96"/>
      <c r="F44" s="313"/>
      <c r="G44" s="10" t="str">
        <f>IFERROR(VLOOKUP(Wärme[[#This Row],[Thema_Bezeichung]],EFs_Wärme[],4,FALSE),"")</f>
        <v/>
      </c>
      <c r="H44" s="96"/>
      <c r="I44" s="96"/>
      <c r="J44" s="96"/>
      <c r="K44" s="96"/>
      <c r="L44" s="309" t="str">
        <f>IF(ISBLANK(Wärme[[#This Row],[Wert 
(Zahl)]]),"", SUM(Wärme[[#This Row],[Scope 1 Ergebnis location-based '[kg CO2e']]:[Scope 3 Ergebnis location-based '[kg CO2e']]]))</f>
        <v/>
      </c>
      <c r="M44" s="15" t="str">
        <f>IF(ISBLANK(Wärme[[#This Row],[Emissionsquelle/Aktivität (Dropdown)]]),"",CONCATENATE(Wärme[[#This Row],[Sektor_Thema]]," - ",Wärme[[#This Row],[Emissionsquelle/Aktivität (Dropdown)]]))</f>
        <v/>
      </c>
      <c r="N44" s="15" t="str">
        <f>IFERROR(VLOOKUP(Wärme[[#This Row],[Thema_Bezeichung]],EFs_Wärme[],5,FALSE),"")</f>
        <v/>
      </c>
      <c r="O44"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4" s="15" t="str">
        <f>IFERROR(VLOOKUP(Wärme[[#This Row],[Thema_Bezeichung]],EFs_Wärme[],7,FALSE),"")</f>
        <v/>
      </c>
      <c r="Q44" s="15" t="str">
        <f>IFERROR(Wärme[[#This Row],[Wert 
(Zahl)]]*Wärme[[#This Row],[Scope 1 Emissionsfaktor '[kg CO2e/Einheit']]],"")</f>
        <v/>
      </c>
      <c r="R44" s="15" t="str">
        <f>IFERROR(Wärme[[#This Row],[Wert 
(Zahl)]]*Wärme[[#This Row],[Scope 2 Emissionsfaktor '[kg CO2e/Einheit']]],"")</f>
        <v/>
      </c>
      <c r="S44" s="15" t="str">
        <f>IFERROR(Wärme[[#This Row],[Wert 
(Zahl)]]*Wärme[[#This Row],[Scope 3 Emissionsfaktor '[kg CO2e/Einheit']]],"")</f>
        <v/>
      </c>
    </row>
    <row r="45" spans="2:19" s="95" customFormat="1" x14ac:dyDescent="0.35">
      <c r="B45" s="407"/>
      <c r="C45" s="10" t="str">
        <f t="shared" si="0"/>
        <v>Wärme</v>
      </c>
      <c r="D45" s="96"/>
      <c r="E45" s="96"/>
      <c r="F45" s="313"/>
      <c r="G45" s="10" t="str">
        <f>IFERROR(VLOOKUP(Wärme[[#This Row],[Thema_Bezeichung]],EFs_Wärme[],4,FALSE),"")</f>
        <v/>
      </c>
      <c r="H45" s="96"/>
      <c r="I45" s="96"/>
      <c r="J45" s="96"/>
      <c r="K45" s="96"/>
      <c r="L45" s="309" t="str">
        <f>IF(ISBLANK(Wärme[[#This Row],[Wert 
(Zahl)]]),"", SUM(Wärme[[#This Row],[Scope 1 Ergebnis location-based '[kg CO2e']]:[Scope 3 Ergebnis location-based '[kg CO2e']]]))</f>
        <v/>
      </c>
      <c r="M45" s="15" t="str">
        <f>IF(ISBLANK(Wärme[[#This Row],[Emissionsquelle/Aktivität (Dropdown)]]),"",CONCATENATE(Wärme[[#This Row],[Sektor_Thema]]," - ",Wärme[[#This Row],[Emissionsquelle/Aktivität (Dropdown)]]))</f>
        <v/>
      </c>
      <c r="N45" s="15" t="str">
        <f>IFERROR(VLOOKUP(Wärme[[#This Row],[Thema_Bezeichung]],EFs_Wärme[],5,FALSE),"")</f>
        <v/>
      </c>
      <c r="O45"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5" s="15" t="str">
        <f>IFERROR(VLOOKUP(Wärme[[#This Row],[Thema_Bezeichung]],EFs_Wärme[],7,FALSE),"")</f>
        <v/>
      </c>
      <c r="Q45" s="15" t="str">
        <f>IFERROR(Wärme[[#This Row],[Wert 
(Zahl)]]*Wärme[[#This Row],[Scope 1 Emissionsfaktor '[kg CO2e/Einheit']]],"")</f>
        <v/>
      </c>
      <c r="R45" s="15" t="str">
        <f>IFERROR(Wärme[[#This Row],[Wert 
(Zahl)]]*Wärme[[#This Row],[Scope 2 Emissionsfaktor '[kg CO2e/Einheit']]],"")</f>
        <v/>
      </c>
      <c r="S45" s="15" t="str">
        <f>IFERROR(Wärme[[#This Row],[Wert 
(Zahl)]]*Wärme[[#This Row],[Scope 3 Emissionsfaktor '[kg CO2e/Einheit']]],"")</f>
        <v/>
      </c>
    </row>
    <row r="46" spans="2:19" s="95" customFormat="1" x14ac:dyDescent="0.35">
      <c r="B46" s="407"/>
      <c r="C46" s="10" t="str">
        <f t="shared" si="0"/>
        <v>Wärme</v>
      </c>
      <c r="D46" s="96"/>
      <c r="E46" s="96"/>
      <c r="F46" s="313"/>
      <c r="G46" s="10" t="str">
        <f>IFERROR(VLOOKUP(Wärme[[#This Row],[Thema_Bezeichung]],EFs_Wärme[],4,FALSE),"")</f>
        <v/>
      </c>
      <c r="H46" s="96"/>
      <c r="I46" s="96"/>
      <c r="J46" s="96"/>
      <c r="K46" s="96"/>
      <c r="L46" s="309" t="str">
        <f>IF(ISBLANK(Wärme[[#This Row],[Wert 
(Zahl)]]),"", SUM(Wärme[[#This Row],[Scope 1 Ergebnis location-based '[kg CO2e']]:[Scope 3 Ergebnis location-based '[kg CO2e']]]))</f>
        <v/>
      </c>
      <c r="M46" s="15" t="str">
        <f>IF(ISBLANK(Wärme[[#This Row],[Emissionsquelle/Aktivität (Dropdown)]]),"",CONCATENATE(Wärme[[#This Row],[Sektor_Thema]]," - ",Wärme[[#This Row],[Emissionsquelle/Aktivität (Dropdown)]]))</f>
        <v/>
      </c>
      <c r="N46" s="15" t="str">
        <f>IFERROR(VLOOKUP(Wärme[[#This Row],[Thema_Bezeichung]],EFs_Wärme[],5,FALSE),"")</f>
        <v/>
      </c>
      <c r="O46" s="15"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6" s="15" t="str">
        <f>IFERROR(VLOOKUP(Wärme[[#This Row],[Thema_Bezeichung]],EFs_Wärme[],7,FALSE),"")</f>
        <v/>
      </c>
      <c r="Q46" s="15" t="str">
        <f>IFERROR(Wärme[[#This Row],[Wert 
(Zahl)]]*Wärme[[#This Row],[Scope 1 Emissionsfaktor '[kg CO2e/Einheit']]],"")</f>
        <v/>
      </c>
      <c r="R46" s="15" t="str">
        <f>IFERROR(Wärme[[#This Row],[Wert 
(Zahl)]]*Wärme[[#This Row],[Scope 2 Emissionsfaktor '[kg CO2e/Einheit']]],"")</f>
        <v/>
      </c>
      <c r="S46" s="15" t="str">
        <f>IFERROR(Wärme[[#This Row],[Wert 
(Zahl)]]*Wärme[[#This Row],[Scope 3 Emissionsfaktor '[kg CO2e/Einheit']]],"")</f>
        <v/>
      </c>
    </row>
    <row r="47" spans="2:19" s="95" customFormat="1" x14ac:dyDescent="0.35">
      <c r="B47" s="407"/>
      <c r="C47" s="96" t="str">
        <f t="shared" si="0"/>
        <v>Wärme</v>
      </c>
      <c r="D47" s="96"/>
      <c r="E47" s="96"/>
      <c r="F47" s="313"/>
      <c r="G47" s="96" t="str">
        <f>IFERROR(VLOOKUP(Wärme[[#This Row],[Thema_Bezeichung]],EFs_Wärme[],4,FALSE),"")</f>
        <v/>
      </c>
      <c r="H47" s="96"/>
      <c r="I47" s="96"/>
      <c r="J47" s="96"/>
      <c r="K47" s="96"/>
      <c r="L47" s="310" t="str">
        <f>IF(ISBLANK(Wärme[[#This Row],[Wert 
(Zahl)]]),"", SUM(Wärme[[#This Row],[Scope 1 Ergebnis location-based '[kg CO2e']]:[Scope 3 Ergebnis location-based '[kg CO2e']]]))</f>
        <v/>
      </c>
      <c r="M47" s="100" t="str">
        <f>IF(ISBLANK(Wärme[[#This Row],[Emissionsquelle/Aktivität (Dropdown)]]),"",CONCATENATE(Wärme[[#This Row],[Sektor_Thema]]," - ",Wärme[[#This Row],[Emissionsquelle/Aktivität (Dropdown)]]))</f>
        <v/>
      </c>
      <c r="N47" s="100" t="str">
        <f>IFERROR(VLOOKUP(Wärme[[#This Row],[Thema_Bezeichung]],EFs_Wärme[],5,FALSE),"")</f>
        <v/>
      </c>
      <c r="O47" s="100"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7" s="100" t="str">
        <f>IFERROR(VLOOKUP(Wärme[[#This Row],[Thema_Bezeichung]],EFs_Wärme[],7,FALSE),"")</f>
        <v/>
      </c>
      <c r="Q47" s="100" t="str">
        <f>IFERROR(Wärme[[#This Row],[Wert 
(Zahl)]]*Wärme[[#This Row],[Scope 1 Emissionsfaktor '[kg CO2e/Einheit']]],"")</f>
        <v/>
      </c>
      <c r="R47" s="100" t="str">
        <f>IFERROR(Wärme[[#This Row],[Wert 
(Zahl)]]*Wärme[[#This Row],[Scope 2 Emissionsfaktor '[kg CO2e/Einheit']]],"")</f>
        <v/>
      </c>
      <c r="S47" s="100" t="str">
        <f>IFERROR(Wärme[[#This Row],[Wert 
(Zahl)]]*Wärme[[#This Row],[Scope 3 Emissionsfaktor '[kg CO2e/Einheit']]],"")</f>
        <v/>
      </c>
    </row>
    <row r="48" spans="2:19" s="95" customFormat="1" ht="15" thickBot="1" x14ac:dyDescent="0.4">
      <c r="B48" s="408"/>
      <c r="C48" s="96" t="str">
        <f t="shared" si="0"/>
        <v>Wärme</v>
      </c>
      <c r="D48" s="96"/>
      <c r="E48" s="96"/>
      <c r="F48" s="313"/>
      <c r="G48" s="96" t="str">
        <f>IFERROR(VLOOKUP(Wärme[[#This Row],[Thema_Bezeichung]],EFs_Wärme[],4,FALSE),"")</f>
        <v/>
      </c>
      <c r="H48" s="96"/>
      <c r="I48" s="96"/>
      <c r="J48" s="96"/>
      <c r="K48" s="96"/>
      <c r="L48" s="310" t="str">
        <f>IF(ISBLANK(Wärme[[#This Row],[Wert 
(Zahl)]]),"", SUM(Wärme[[#This Row],[Scope 1 Ergebnis location-based '[kg CO2e']]:[Scope 3 Ergebnis location-based '[kg CO2e']]]))</f>
        <v/>
      </c>
      <c r="M48" s="100" t="str">
        <f>IF(ISBLANK(Wärme[[#This Row],[Emissionsquelle/Aktivität (Dropdown)]]),"",CONCATENATE(Wärme[[#This Row],[Sektor_Thema]]," - ",Wärme[[#This Row],[Emissionsquelle/Aktivität (Dropdown)]]))</f>
        <v/>
      </c>
      <c r="N48" s="100" t="str">
        <f>IFERROR(VLOOKUP(Wärme[[#This Row],[Thema_Bezeichung]],EFs_Wärme[],5,FALSE),"")</f>
        <v/>
      </c>
      <c r="O48" s="100" t="str">
        <f>IF(AND(Wärme[[#This Row],[Emissionsquelle/Aktivität (Dropdown)]]="Fernwärme (Wert Energieversorger)",ISNUMBER(Wärme[[#This Row],[Fernwärme Eigenfaktor Scope 2
'[kg CO2e/kWh']
(falls zutreffend)]])),Wärme[[#This Row],[Fernwärme Eigenfaktor Scope 2
'[kg CO2e/kWh']
(falls zutreffend)]],IFERROR(VLOOKUP(Wärme[[#This Row],[Thema_Bezeichung]],EFs_Wärme[],6,FALSE),""))</f>
        <v/>
      </c>
      <c r="P48" s="100" t="str">
        <f>IFERROR(VLOOKUP(Wärme[[#This Row],[Thema_Bezeichung]],EFs_Wärme[],7,FALSE),"")</f>
        <v/>
      </c>
      <c r="Q48" s="100" t="str">
        <f>IFERROR(Wärme[[#This Row],[Wert 
(Zahl)]]*Wärme[[#This Row],[Scope 1 Emissionsfaktor '[kg CO2e/Einheit']]],"")</f>
        <v/>
      </c>
      <c r="R48" s="100" t="str">
        <f>IFERROR(Wärme[[#This Row],[Wert 
(Zahl)]]*Wärme[[#This Row],[Scope 2 Emissionsfaktor '[kg CO2e/Einheit']]],"")</f>
        <v/>
      </c>
      <c r="S48" s="100" t="str">
        <f>IFERROR(Wärme[[#This Row],[Wert 
(Zahl)]]*Wärme[[#This Row],[Scope 3 Emissionsfaktor '[kg CO2e/Einheit']]],"")</f>
        <v/>
      </c>
    </row>
    <row r="49" spans="2:22" s="2" customFormat="1" ht="15" thickTop="1" x14ac:dyDescent="0.35">
      <c r="B49" s="14"/>
      <c r="D49" s="117" t="s">
        <v>226</v>
      </c>
      <c r="E49" s="117"/>
      <c r="F49" s="117"/>
      <c r="G49" s="117"/>
      <c r="H49" s="117"/>
      <c r="I49" s="117"/>
      <c r="J49" s="117"/>
      <c r="K49" s="117"/>
      <c r="L49" s="311">
        <f>SUBTOTAL(109,Wärme[Ergebnis '[kg CO2e'] (vorausgefüllt)])</f>
        <v>0</v>
      </c>
      <c r="Q49" s="2">
        <f>SUBTOTAL(109,Wärme[Scope 1 Ergebnis location-based '[kg CO2e']])</f>
        <v>0</v>
      </c>
      <c r="R49" s="2">
        <f>SUBTOTAL(109,Wärme[Scope 2 Ergebnis location-based '[kg CO2e']])</f>
        <v>0</v>
      </c>
      <c r="S49" s="2">
        <f>SUBTOTAL(109,Wärme[Scope 3 Ergebnis location-based '[kg CO2e']])</f>
        <v>0</v>
      </c>
    </row>
    <row r="50" spans="2:22" ht="120" customHeight="1" x14ac:dyDescent="0.35">
      <c r="B50" s="197" t="s">
        <v>85</v>
      </c>
      <c r="C50" s="11"/>
      <c r="D50" s="11"/>
      <c r="O50" t="str">
        <f>IFERROR(Wärme[[#This Row],[Wert 
(Zahl)]]*Wärme[[#This Row],[Scope 1 Emissionsfaktor '[kg CO2e/Einheit']]],"")</f>
        <v/>
      </c>
      <c r="P50" t="str">
        <f>IFERROR(Wärme[[#This Row],[Wert 
(Zahl)]]*Wärme[[#This Row],[Scope 2 Emissionsfaktor '[kg CO2e/Einheit']]],"")</f>
        <v/>
      </c>
      <c r="Q50" t="str">
        <f>IFERROR(Wärme[[#This Row],[Wert 
(Zahl)]]*Wärme[[#This Row],[Scope 3 Emissionsfaktor '[kg CO2e/Einheit']]],"")</f>
        <v/>
      </c>
      <c r="R50" t="str">
        <f>IFERROR(Wärme[[#This Row],[Wert 
(Zahl)]]*Wärme[[#This Row],[Scope 1 Emissionsfaktor '[kg CO2e/Einheit']]],"")</f>
        <v/>
      </c>
      <c r="S50" t="str">
        <f>IFERROR(Wärme[[#This Row],[Wert 
(Zahl)]]*Wärme[[#This Row],[Scope 2 Emissionsfaktor '[kg CO2e/Einheit']]],"")</f>
        <v/>
      </c>
      <c r="T50" t="str">
        <f>IFERROR(Wärme[[#This Row],[Wert 
(Zahl)]]*Wärme[[#This Row],[Scope 3 Emissionsfaktor '[kg CO2e/Einheit']]],"")</f>
        <v/>
      </c>
    </row>
    <row r="51" spans="2:22" x14ac:dyDescent="0.35">
      <c r="B51" s="135" t="s">
        <v>86</v>
      </c>
    </row>
    <row r="52" spans="2:22" ht="18.5" x14ac:dyDescent="0.45">
      <c r="B52" s="134" t="s">
        <v>18</v>
      </c>
    </row>
    <row r="53" spans="2:22" ht="81.75" customHeight="1" x14ac:dyDescent="0.35">
      <c r="B53" s="298" t="s">
        <v>93</v>
      </c>
      <c r="C53" s="299"/>
      <c r="D53" s="404" t="s">
        <v>398</v>
      </c>
      <c r="E53" s="404"/>
      <c r="F53" s="404"/>
      <c r="G53" s="404"/>
      <c r="H53" s="404"/>
      <c r="I53" s="405"/>
    </row>
    <row r="54" spans="2:22" s="1" customFormat="1" x14ac:dyDescent="0.35">
      <c r="B54"/>
      <c r="C54" t="s">
        <v>18</v>
      </c>
      <c r="D54"/>
      <c r="E54"/>
      <c r="F54"/>
      <c r="G54"/>
      <c r="H54"/>
      <c r="I54"/>
      <c r="J54"/>
      <c r="K54"/>
      <c r="L54"/>
      <c r="M54"/>
      <c r="N54"/>
      <c r="O54"/>
      <c r="P54"/>
      <c r="Q54"/>
      <c r="R54"/>
      <c r="S54"/>
      <c r="T54"/>
      <c r="U54"/>
      <c r="V54"/>
    </row>
    <row r="55" spans="2:22" ht="44" thickBot="1" x14ac:dyDescent="0.4">
      <c r="B55" s="10"/>
      <c r="C55" s="27" t="s">
        <v>51</v>
      </c>
      <c r="D55" s="27" t="s">
        <v>214</v>
      </c>
      <c r="E55" s="27" t="s">
        <v>71</v>
      </c>
      <c r="F55" s="27" t="s">
        <v>72</v>
      </c>
      <c r="G55" s="103" t="s">
        <v>84</v>
      </c>
      <c r="H55" s="27" t="s">
        <v>135</v>
      </c>
      <c r="I55" s="103" t="s">
        <v>80</v>
      </c>
      <c r="J55" s="103" t="s">
        <v>81</v>
      </c>
      <c r="K55" s="164" t="s">
        <v>243</v>
      </c>
      <c r="L55" s="165" t="s">
        <v>133</v>
      </c>
      <c r="M55" s="103" t="s">
        <v>241</v>
      </c>
      <c r="N55" s="103" t="s">
        <v>87</v>
      </c>
      <c r="O55" s="103" t="s">
        <v>89</v>
      </c>
      <c r="P55" s="103" t="s">
        <v>88</v>
      </c>
      <c r="Q55" s="103" t="s">
        <v>194</v>
      </c>
      <c r="R55" s="103" t="s">
        <v>92</v>
      </c>
      <c r="S55" s="103" t="s">
        <v>91</v>
      </c>
      <c r="T55" s="103" t="s">
        <v>90</v>
      </c>
      <c r="U55" s="103" t="s">
        <v>289</v>
      </c>
    </row>
    <row r="56" spans="2:22" s="95" customFormat="1" ht="15" thickTop="1" x14ac:dyDescent="0.35">
      <c r="B56" s="406" t="s">
        <v>18</v>
      </c>
      <c r="C56" s="10" t="str">
        <f t="shared" ref="C56:C75" si="1">$C$54</f>
        <v>Strom</v>
      </c>
      <c r="D56" s="96"/>
      <c r="E56" s="96"/>
      <c r="F56" s="313"/>
      <c r="G56" s="10" t="str">
        <f>IFERROR(VLOOKUP(Strom[[#This Row],[Thema_Bezeichung]],Emissionsfaktoren!$C$9:$N$201,4,FALSE),"")</f>
        <v/>
      </c>
      <c r="H56" s="96"/>
      <c r="I56" s="96"/>
      <c r="J56" s="96"/>
      <c r="K56" s="314" t="str">
        <f>IF(ISBLANK(Strom[[#This Row],[Wert 
(Zahl)]]),"", SUM(Strom[[#This Row],[Scope 1 Ergebnis location-based '[kg CO2e']]:[Scope 3 Ergebnis location-based '[kg CO2e']]]))</f>
        <v/>
      </c>
      <c r="L56" s="166"/>
      <c r="M56" s="15" t="str">
        <f>IF(ISBLANK(Strom[[#This Row],[Emissionsquelle/Aktivität (Dropdown)]]),"",CONCATENATE(Strom[[#This Row],[Sektor_Thema]]," - ",Strom[[#This Row],[Emissionsquelle/Aktivität (Dropdown)]]))</f>
        <v/>
      </c>
      <c r="N56" s="15" t="str">
        <f>IFERROR(VLOOKUP(Strom[[#This Row],[Thema_Bezeichung]],EFs_Strom[],5,FALSE),"")</f>
        <v/>
      </c>
      <c r="O56" s="15" t="str">
        <f>IFERROR(VLOOKUP(Strom[[#This Row],[Thema_Bezeichung]],EFs_Strom[],6,FALSE),"")</f>
        <v/>
      </c>
      <c r="P56" s="15" t="str">
        <f>IFERROR(VLOOKUP(Strom[[#This Row],[Thema_Bezeichung]],EFs_Strom[],7,FALSE),"")</f>
        <v/>
      </c>
      <c r="Q56" s="15" t="str">
        <f>IFERROR(VLOOKUP(Strom[[#This Row],[Thema_Bezeichung]],EFs_Strom[],11,FALSE),"")</f>
        <v/>
      </c>
      <c r="R56" s="15" t="str">
        <f>IFERROR(Strom[[#This Row],[Wert 
(Zahl)]]*Strom[[#This Row],[Scope 1 Emissionsfaktor '[kg CO2e/Einheit']]],"")</f>
        <v/>
      </c>
      <c r="S56"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56" s="15" t="str">
        <f>IF(Strom[[#This Row],[Emissionsquelle/Aktivität (Dropdown)]]="Strombezug (Grünstrom)",Strom[[#This Row],[Wert 
(Zahl)]]*VLOOKUP("Strom - Strombezug (Strommix Deutschland)",EFs_Strom[],7,FALSE),IFERROR(Strom[[#This Row],[Wert 
(Zahl)]]*Strom[[#This Row],[Scope 3 Emissionsfaktor '[kg CO2e/Einheit']]],""))</f>
        <v/>
      </c>
      <c r="U56" s="15" t="str">
        <f>IFERROR(Strom[[#This Row],[Vermeidungsfaktor '[kg CO2e/Einheit']]]*Strom[[#This Row],[Wert 
(Zahl)]],"")</f>
        <v/>
      </c>
    </row>
    <row r="57" spans="2:22" s="95" customFormat="1" x14ac:dyDescent="0.35">
      <c r="B57" s="407"/>
      <c r="C57" s="10" t="str">
        <f t="shared" si="1"/>
        <v>Strom</v>
      </c>
      <c r="D57" s="96"/>
      <c r="E57" s="96"/>
      <c r="F57" s="313"/>
      <c r="G57" s="10" t="str">
        <f>IFERROR(VLOOKUP(Strom[[#This Row],[Thema_Bezeichung]],Emissionsfaktoren!$C$9:$N$201,4,FALSE),"")</f>
        <v/>
      </c>
      <c r="H57" s="96"/>
      <c r="I57" s="96"/>
      <c r="J57" s="96"/>
      <c r="K57" s="314" t="str">
        <f>IF(ISBLANK(Strom[[#This Row],[Wert 
(Zahl)]]),"", SUM(Strom[[#This Row],[Scope 1 Ergebnis location-based '[kg CO2e']]:[Scope 3 Ergebnis location-based '[kg CO2e']]]))</f>
        <v/>
      </c>
      <c r="L57" s="166"/>
      <c r="M57" s="15" t="str">
        <f>IF(ISBLANK(Strom[[#This Row],[Emissionsquelle/Aktivität (Dropdown)]]),"",CONCATENATE(Strom[[#This Row],[Sektor_Thema]]," - ",Strom[[#This Row],[Emissionsquelle/Aktivität (Dropdown)]]))</f>
        <v/>
      </c>
      <c r="N57" s="15" t="str">
        <f>IFERROR(VLOOKUP(Strom[[#This Row],[Thema_Bezeichung]],EFs_Strom[],5,FALSE),"")</f>
        <v/>
      </c>
      <c r="O57" s="15" t="str">
        <f>IFERROR(VLOOKUP(Strom[[#This Row],[Thema_Bezeichung]],EFs_Strom[],6,FALSE),"")</f>
        <v/>
      </c>
      <c r="P57" s="15" t="str">
        <f>IFERROR(VLOOKUP(Strom[[#This Row],[Thema_Bezeichung]],EFs_Strom[],7,FALSE),"")</f>
        <v/>
      </c>
      <c r="Q57" s="15" t="str">
        <f>IFERROR(VLOOKUP(Strom[[#This Row],[Thema_Bezeichung]],EFs_Strom[],11,FALSE),"")</f>
        <v/>
      </c>
      <c r="R57" s="15" t="str">
        <f>IFERROR(Strom[[#This Row],[Wert 
(Zahl)]]*Strom[[#This Row],[Scope 1 Emissionsfaktor '[kg CO2e/Einheit']]],"")</f>
        <v/>
      </c>
      <c r="S57"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57" s="15" t="str">
        <f>IF(Strom[[#This Row],[Emissionsquelle/Aktivität (Dropdown)]]="Strombezug (Grünstrom)",Strom[[#This Row],[Wert 
(Zahl)]]*VLOOKUP("Strom - Strombezug (Strommix Deutschland)",EFs_Strom[],7,FALSE),IFERROR(Strom[[#This Row],[Wert 
(Zahl)]]*Strom[[#This Row],[Scope 3 Emissionsfaktor '[kg CO2e/Einheit']]],""))</f>
        <v/>
      </c>
      <c r="U57" s="15" t="str">
        <f>IFERROR(Strom[[#This Row],[Vermeidungsfaktor '[kg CO2e/Einheit']]]*Strom[[#This Row],[Wert 
(Zahl)]],"")</f>
        <v/>
      </c>
    </row>
    <row r="58" spans="2:22" s="95" customFormat="1" x14ac:dyDescent="0.35">
      <c r="B58" s="407"/>
      <c r="C58" s="10" t="str">
        <f t="shared" si="1"/>
        <v>Strom</v>
      </c>
      <c r="D58" s="96"/>
      <c r="E58" s="96"/>
      <c r="F58" s="313"/>
      <c r="G58" s="10" t="str">
        <f>IFERROR(VLOOKUP(Strom[[#This Row],[Thema_Bezeichung]],Emissionsfaktoren!$C$9:$N$201,4,FALSE),"")</f>
        <v/>
      </c>
      <c r="H58" s="96"/>
      <c r="I58" s="96"/>
      <c r="J58" s="96"/>
      <c r="K58" s="314" t="str">
        <f>IF(ISBLANK(Strom[[#This Row],[Wert 
(Zahl)]]),"", SUM(Strom[[#This Row],[Scope 1 Ergebnis location-based '[kg CO2e']]:[Scope 3 Ergebnis location-based '[kg CO2e']]]))</f>
        <v/>
      </c>
      <c r="L58" s="166"/>
      <c r="M58" s="15" t="str">
        <f>IF(ISBLANK(Strom[[#This Row],[Emissionsquelle/Aktivität (Dropdown)]]),"",CONCATENATE(Strom[[#This Row],[Sektor_Thema]]," - ",Strom[[#This Row],[Emissionsquelle/Aktivität (Dropdown)]]))</f>
        <v/>
      </c>
      <c r="N58" s="15" t="str">
        <f>IFERROR(VLOOKUP(Strom[[#This Row],[Thema_Bezeichung]],EFs_Strom[],5,FALSE),"")</f>
        <v/>
      </c>
      <c r="O58" s="15" t="str">
        <f>IFERROR(VLOOKUP(Strom[[#This Row],[Thema_Bezeichung]],EFs_Strom[],6,FALSE),"")</f>
        <v/>
      </c>
      <c r="P58" s="15" t="str">
        <f>IFERROR(VLOOKUP(Strom[[#This Row],[Thema_Bezeichung]],EFs_Strom[],7,FALSE),"")</f>
        <v/>
      </c>
      <c r="Q58" s="15" t="str">
        <f>IFERROR(VLOOKUP(Strom[[#This Row],[Thema_Bezeichung]],EFs_Strom[],11,FALSE),"")</f>
        <v/>
      </c>
      <c r="R58" s="15" t="str">
        <f>IFERROR(Strom[[#This Row],[Wert 
(Zahl)]]*Strom[[#This Row],[Scope 1 Emissionsfaktor '[kg CO2e/Einheit']]],"")</f>
        <v/>
      </c>
      <c r="S58"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58" s="15" t="str">
        <f>IF(Strom[[#This Row],[Emissionsquelle/Aktivität (Dropdown)]]="Strombezug (Grünstrom)",Strom[[#This Row],[Wert 
(Zahl)]]*VLOOKUP("Strom - Strombezug (Strommix Deutschland)",EFs_Strom[],7,FALSE),IFERROR(Strom[[#This Row],[Wert 
(Zahl)]]*Strom[[#This Row],[Scope 3 Emissionsfaktor '[kg CO2e/Einheit']]],""))</f>
        <v/>
      </c>
      <c r="U58" s="15" t="str">
        <f>IFERROR(Strom[[#This Row],[Vermeidungsfaktor '[kg CO2e/Einheit']]]*Strom[[#This Row],[Wert 
(Zahl)]],"")</f>
        <v/>
      </c>
    </row>
    <row r="59" spans="2:22" s="95" customFormat="1" x14ac:dyDescent="0.35">
      <c r="B59" s="407"/>
      <c r="C59" s="10" t="str">
        <f t="shared" si="1"/>
        <v>Strom</v>
      </c>
      <c r="D59" s="96"/>
      <c r="E59" s="96"/>
      <c r="F59" s="313"/>
      <c r="G59" s="10" t="str">
        <f>IFERROR(VLOOKUP(Strom[[#This Row],[Thema_Bezeichung]],Emissionsfaktoren!$C$9:$N$201,4,FALSE),"")</f>
        <v/>
      </c>
      <c r="H59" s="96"/>
      <c r="I59" s="96"/>
      <c r="J59" s="96"/>
      <c r="K59" s="314" t="str">
        <f>IF(ISBLANK(Strom[[#This Row],[Wert 
(Zahl)]]),"", SUM(Strom[[#This Row],[Scope 1 Ergebnis location-based '[kg CO2e']]:[Scope 3 Ergebnis location-based '[kg CO2e']]]))</f>
        <v/>
      </c>
      <c r="L59" s="166"/>
      <c r="M59" s="15" t="str">
        <f>IF(ISBLANK(Strom[[#This Row],[Emissionsquelle/Aktivität (Dropdown)]]),"",CONCATENATE(Strom[[#This Row],[Sektor_Thema]]," - ",Strom[[#This Row],[Emissionsquelle/Aktivität (Dropdown)]]))</f>
        <v/>
      </c>
      <c r="N59" s="15" t="str">
        <f>IFERROR(VLOOKUP(Strom[[#This Row],[Thema_Bezeichung]],EFs_Strom[],5,FALSE),"")</f>
        <v/>
      </c>
      <c r="O59" s="15" t="str">
        <f>IFERROR(VLOOKUP(Strom[[#This Row],[Thema_Bezeichung]],EFs_Strom[],6,FALSE),"")</f>
        <v/>
      </c>
      <c r="P59" s="15" t="str">
        <f>IFERROR(VLOOKUP(Strom[[#This Row],[Thema_Bezeichung]],EFs_Strom[],7,FALSE),"")</f>
        <v/>
      </c>
      <c r="Q59" s="15" t="str">
        <f>IFERROR(VLOOKUP(Strom[[#This Row],[Thema_Bezeichung]],EFs_Strom[],11,FALSE),"")</f>
        <v/>
      </c>
      <c r="R59" s="15" t="str">
        <f>IFERROR(Strom[[#This Row],[Wert 
(Zahl)]]*Strom[[#This Row],[Scope 1 Emissionsfaktor '[kg CO2e/Einheit']]],"")</f>
        <v/>
      </c>
      <c r="S59"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59" s="15" t="str">
        <f>IF(Strom[[#This Row],[Emissionsquelle/Aktivität (Dropdown)]]="Strombezug (Grünstrom)",Strom[[#This Row],[Wert 
(Zahl)]]*VLOOKUP("Strom - Strombezug (Strommix Deutschland)",EFs_Strom[],7,FALSE),IFERROR(Strom[[#This Row],[Wert 
(Zahl)]]*Strom[[#This Row],[Scope 3 Emissionsfaktor '[kg CO2e/Einheit']]],""))</f>
        <v/>
      </c>
      <c r="U59" s="15" t="str">
        <f>IFERROR(Strom[[#This Row],[Vermeidungsfaktor '[kg CO2e/Einheit']]]*Strom[[#This Row],[Wert 
(Zahl)]],"")</f>
        <v/>
      </c>
    </row>
    <row r="60" spans="2:22" s="95" customFormat="1" x14ac:dyDescent="0.35">
      <c r="B60" s="407"/>
      <c r="C60" s="10" t="str">
        <f t="shared" si="1"/>
        <v>Strom</v>
      </c>
      <c r="D60" s="96"/>
      <c r="E60" s="96"/>
      <c r="F60" s="313"/>
      <c r="G60" s="10" t="str">
        <f>IFERROR(VLOOKUP(Strom[[#This Row],[Thema_Bezeichung]],Emissionsfaktoren!$C$9:$N$201,4,FALSE),"")</f>
        <v/>
      </c>
      <c r="H60" s="96"/>
      <c r="I60" s="96"/>
      <c r="J60" s="96"/>
      <c r="K60" s="314" t="str">
        <f>IF(ISBLANK(Strom[[#This Row],[Wert 
(Zahl)]]),"", SUM(Strom[[#This Row],[Scope 1 Ergebnis location-based '[kg CO2e']]:[Scope 3 Ergebnis location-based '[kg CO2e']]]))</f>
        <v/>
      </c>
      <c r="L60" s="166"/>
      <c r="M60" s="15" t="str">
        <f>IF(ISBLANK(Strom[[#This Row],[Emissionsquelle/Aktivität (Dropdown)]]),"",CONCATENATE(Strom[[#This Row],[Sektor_Thema]]," - ",Strom[[#This Row],[Emissionsquelle/Aktivität (Dropdown)]]))</f>
        <v/>
      </c>
      <c r="N60" s="15" t="str">
        <f>IFERROR(VLOOKUP(Strom[[#This Row],[Thema_Bezeichung]],EFs_Strom[],5,FALSE),"")</f>
        <v/>
      </c>
      <c r="O60" s="15" t="str">
        <f>IFERROR(VLOOKUP(Strom[[#This Row],[Thema_Bezeichung]],EFs_Strom[],6,FALSE),"")</f>
        <v/>
      </c>
      <c r="P60" s="15" t="str">
        <f>IFERROR(VLOOKUP(Strom[[#This Row],[Thema_Bezeichung]],EFs_Strom[],7,FALSE),"")</f>
        <v/>
      </c>
      <c r="Q60" s="15" t="str">
        <f>IFERROR(VLOOKUP(Strom[[#This Row],[Thema_Bezeichung]],EFs_Strom[],11,FALSE),"")</f>
        <v/>
      </c>
      <c r="R60" s="15" t="str">
        <f>IFERROR(Strom[[#This Row],[Wert 
(Zahl)]]*Strom[[#This Row],[Scope 1 Emissionsfaktor '[kg CO2e/Einheit']]],"")</f>
        <v/>
      </c>
      <c r="S60"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0" s="15" t="str">
        <f>IF(Strom[[#This Row],[Emissionsquelle/Aktivität (Dropdown)]]="Strombezug (Grünstrom)",Strom[[#This Row],[Wert 
(Zahl)]]*VLOOKUP("Strom - Strombezug (Strommix Deutschland)",EFs_Strom[],7,FALSE),IFERROR(Strom[[#This Row],[Wert 
(Zahl)]]*Strom[[#This Row],[Scope 3 Emissionsfaktor '[kg CO2e/Einheit']]],""))</f>
        <v/>
      </c>
      <c r="U60" s="15" t="str">
        <f>IFERROR(Strom[[#This Row],[Vermeidungsfaktor '[kg CO2e/Einheit']]]*Strom[[#This Row],[Wert 
(Zahl)]],"")</f>
        <v/>
      </c>
    </row>
    <row r="61" spans="2:22" s="95" customFormat="1" x14ac:dyDescent="0.35">
      <c r="B61" s="407"/>
      <c r="C61" s="10" t="str">
        <f t="shared" si="1"/>
        <v>Strom</v>
      </c>
      <c r="D61" s="96"/>
      <c r="E61" s="96"/>
      <c r="F61" s="313"/>
      <c r="G61" s="10" t="str">
        <f>IFERROR(VLOOKUP(Strom[[#This Row],[Thema_Bezeichung]],Emissionsfaktoren!$C$9:$N$201,4,FALSE),"")</f>
        <v/>
      </c>
      <c r="H61" s="96"/>
      <c r="I61" s="96"/>
      <c r="J61" s="96"/>
      <c r="K61" s="314" t="str">
        <f>IF(ISBLANK(Strom[[#This Row],[Wert 
(Zahl)]]),"", SUM(Strom[[#This Row],[Scope 1 Ergebnis location-based '[kg CO2e']]:[Scope 3 Ergebnis location-based '[kg CO2e']]]))</f>
        <v/>
      </c>
      <c r="L61" s="166"/>
      <c r="M61" s="15" t="str">
        <f>IF(ISBLANK(Strom[[#This Row],[Emissionsquelle/Aktivität (Dropdown)]]),"",CONCATENATE(Strom[[#This Row],[Sektor_Thema]]," - ",Strom[[#This Row],[Emissionsquelle/Aktivität (Dropdown)]]))</f>
        <v/>
      </c>
      <c r="N61" s="15" t="str">
        <f>IFERROR(VLOOKUP(Strom[[#This Row],[Thema_Bezeichung]],EFs_Strom[],5,FALSE),"")</f>
        <v/>
      </c>
      <c r="O61" s="15" t="str">
        <f>IFERROR(VLOOKUP(Strom[[#This Row],[Thema_Bezeichung]],EFs_Strom[],6,FALSE),"")</f>
        <v/>
      </c>
      <c r="P61" s="15" t="str">
        <f>IFERROR(VLOOKUP(Strom[[#This Row],[Thema_Bezeichung]],EFs_Strom[],7,FALSE),"")</f>
        <v/>
      </c>
      <c r="Q61" s="15" t="str">
        <f>IFERROR(VLOOKUP(Strom[[#This Row],[Thema_Bezeichung]],EFs_Strom[],11,FALSE),"")</f>
        <v/>
      </c>
      <c r="R61" s="15" t="str">
        <f>IFERROR(Strom[[#This Row],[Wert 
(Zahl)]]*Strom[[#This Row],[Scope 1 Emissionsfaktor '[kg CO2e/Einheit']]],"")</f>
        <v/>
      </c>
      <c r="S61"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1" s="15" t="str">
        <f>IF(Strom[[#This Row],[Emissionsquelle/Aktivität (Dropdown)]]="Strombezug (Grünstrom)",Strom[[#This Row],[Wert 
(Zahl)]]*VLOOKUP("Strom - Strombezug (Strommix Deutschland)",EFs_Strom[],7,FALSE),IFERROR(Strom[[#This Row],[Wert 
(Zahl)]]*Strom[[#This Row],[Scope 3 Emissionsfaktor '[kg CO2e/Einheit']]],""))</f>
        <v/>
      </c>
      <c r="U61" s="15" t="str">
        <f>IFERROR(Strom[[#This Row],[Vermeidungsfaktor '[kg CO2e/Einheit']]]*Strom[[#This Row],[Wert 
(Zahl)]],"")</f>
        <v/>
      </c>
    </row>
    <row r="62" spans="2:22" s="95" customFormat="1" x14ac:dyDescent="0.35">
      <c r="B62" s="407"/>
      <c r="C62" s="10" t="str">
        <f t="shared" si="1"/>
        <v>Strom</v>
      </c>
      <c r="D62" s="96"/>
      <c r="E62" s="96"/>
      <c r="F62" s="313"/>
      <c r="G62" s="10" t="str">
        <f>IFERROR(VLOOKUP(Strom[[#This Row],[Thema_Bezeichung]],Emissionsfaktoren!$C$9:$N$201,4,FALSE),"")</f>
        <v/>
      </c>
      <c r="H62" s="96"/>
      <c r="I62" s="96"/>
      <c r="J62" s="96"/>
      <c r="K62" s="314" t="str">
        <f>IF(ISBLANK(Strom[[#This Row],[Wert 
(Zahl)]]),"", SUM(Strom[[#This Row],[Scope 1 Ergebnis location-based '[kg CO2e']]:[Scope 3 Ergebnis location-based '[kg CO2e']]]))</f>
        <v/>
      </c>
      <c r="L62" s="166"/>
      <c r="M62" s="15" t="str">
        <f>IF(ISBLANK(Strom[[#This Row],[Emissionsquelle/Aktivität (Dropdown)]]),"",CONCATENATE(Strom[[#This Row],[Sektor_Thema]]," - ",Strom[[#This Row],[Emissionsquelle/Aktivität (Dropdown)]]))</f>
        <v/>
      </c>
      <c r="N62" s="15" t="str">
        <f>IFERROR(VLOOKUP(Strom[[#This Row],[Thema_Bezeichung]],EFs_Strom[],5,FALSE),"")</f>
        <v/>
      </c>
      <c r="O62" s="15" t="str">
        <f>IFERROR(VLOOKUP(Strom[[#This Row],[Thema_Bezeichung]],EFs_Strom[],6,FALSE),"")</f>
        <v/>
      </c>
      <c r="P62" s="15" t="str">
        <f>IFERROR(VLOOKUP(Strom[[#This Row],[Thema_Bezeichung]],EFs_Strom[],7,FALSE),"")</f>
        <v/>
      </c>
      <c r="Q62" s="15" t="str">
        <f>IFERROR(VLOOKUP(Strom[[#This Row],[Thema_Bezeichung]],EFs_Strom[],11,FALSE),"")</f>
        <v/>
      </c>
      <c r="R62" s="15" t="str">
        <f>IFERROR(Strom[[#This Row],[Wert 
(Zahl)]]*Strom[[#This Row],[Scope 1 Emissionsfaktor '[kg CO2e/Einheit']]],"")</f>
        <v/>
      </c>
      <c r="S62"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2" s="15" t="str">
        <f>IF(Strom[[#This Row],[Emissionsquelle/Aktivität (Dropdown)]]="Strombezug (Grünstrom)",Strom[[#This Row],[Wert 
(Zahl)]]*VLOOKUP("Strom - Strombezug (Strommix Deutschland)",EFs_Strom[],7,FALSE),IFERROR(Strom[[#This Row],[Wert 
(Zahl)]]*Strom[[#This Row],[Scope 3 Emissionsfaktor '[kg CO2e/Einheit']]],""))</f>
        <v/>
      </c>
      <c r="U62" s="15" t="str">
        <f>IFERROR(Strom[[#This Row],[Vermeidungsfaktor '[kg CO2e/Einheit']]]*Strom[[#This Row],[Wert 
(Zahl)]],"")</f>
        <v/>
      </c>
    </row>
    <row r="63" spans="2:22" s="95" customFormat="1" x14ac:dyDescent="0.35">
      <c r="B63" s="407"/>
      <c r="C63" s="10" t="str">
        <f t="shared" si="1"/>
        <v>Strom</v>
      </c>
      <c r="D63" s="96"/>
      <c r="E63" s="96"/>
      <c r="F63" s="313"/>
      <c r="G63" s="10" t="str">
        <f>IFERROR(VLOOKUP(Strom[[#This Row],[Thema_Bezeichung]],Emissionsfaktoren!$C$9:$N$201,4,FALSE),"")</f>
        <v/>
      </c>
      <c r="H63" s="96"/>
      <c r="I63" s="96"/>
      <c r="J63" s="96"/>
      <c r="K63" s="314" t="str">
        <f>IF(ISBLANK(Strom[[#This Row],[Wert 
(Zahl)]]),"", SUM(Strom[[#This Row],[Scope 1 Ergebnis location-based '[kg CO2e']]:[Scope 3 Ergebnis location-based '[kg CO2e']]]))</f>
        <v/>
      </c>
      <c r="L63" s="166"/>
      <c r="M63" s="15" t="str">
        <f>IF(ISBLANK(Strom[[#This Row],[Emissionsquelle/Aktivität (Dropdown)]]),"",CONCATENATE(Strom[[#This Row],[Sektor_Thema]]," - ",Strom[[#This Row],[Emissionsquelle/Aktivität (Dropdown)]]))</f>
        <v/>
      </c>
      <c r="N63" s="15" t="str">
        <f>IFERROR(VLOOKUP(Strom[[#This Row],[Thema_Bezeichung]],EFs_Strom[],5,FALSE),"")</f>
        <v/>
      </c>
      <c r="O63" s="15" t="str">
        <f>IFERROR(VLOOKUP(Strom[[#This Row],[Thema_Bezeichung]],EFs_Strom[],6,FALSE),"")</f>
        <v/>
      </c>
      <c r="P63" s="15" t="str">
        <f>IFERROR(VLOOKUP(Strom[[#This Row],[Thema_Bezeichung]],EFs_Strom[],7,FALSE),"")</f>
        <v/>
      </c>
      <c r="Q63" s="15" t="str">
        <f>IFERROR(VLOOKUP(Strom[[#This Row],[Thema_Bezeichung]],EFs_Strom[],11,FALSE),"")</f>
        <v/>
      </c>
      <c r="R63" s="15" t="str">
        <f>IFERROR(Strom[[#This Row],[Wert 
(Zahl)]]*Strom[[#This Row],[Scope 1 Emissionsfaktor '[kg CO2e/Einheit']]],"")</f>
        <v/>
      </c>
      <c r="S63"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3" s="15" t="str">
        <f>IF(Strom[[#This Row],[Emissionsquelle/Aktivität (Dropdown)]]="Strombezug (Grünstrom)",Strom[[#This Row],[Wert 
(Zahl)]]*VLOOKUP("Strom - Strombezug (Strommix Deutschland)",EFs_Strom[],7,FALSE),IFERROR(Strom[[#This Row],[Wert 
(Zahl)]]*Strom[[#This Row],[Scope 3 Emissionsfaktor '[kg CO2e/Einheit']]],""))</f>
        <v/>
      </c>
      <c r="U63" s="15" t="str">
        <f>IFERROR(Strom[[#This Row],[Vermeidungsfaktor '[kg CO2e/Einheit']]]*Strom[[#This Row],[Wert 
(Zahl)]],"")</f>
        <v/>
      </c>
    </row>
    <row r="64" spans="2:22" s="95" customFormat="1" x14ac:dyDescent="0.35">
      <c r="B64" s="407"/>
      <c r="C64" s="10" t="str">
        <f t="shared" si="1"/>
        <v>Strom</v>
      </c>
      <c r="D64" s="96"/>
      <c r="E64" s="96"/>
      <c r="F64" s="313"/>
      <c r="G64" s="10" t="str">
        <f>IFERROR(VLOOKUP(Strom[[#This Row],[Thema_Bezeichung]],Emissionsfaktoren!$C$9:$N$201,4,FALSE),"")</f>
        <v/>
      </c>
      <c r="H64" s="96"/>
      <c r="I64" s="96"/>
      <c r="J64" s="96"/>
      <c r="K64" s="314" t="str">
        <f>IF(ISBLANK(Strom[[#This Row],[Wert 
(Zahl)]]),"", SUM(Strom[[#This Row],[Scope 1 Ergebnis location-based '[kg CO2e']]:[Scope 3 Ergebnis location-based '[kg CO2e']]]))</f>
        <v/>
      </c>
      <c r="L64" s="166"/>
      <c r="M64" s="15" t="str">
        <f>IF(ISBLANK(Strom[[#This Row],[Emissionsquelle/Aktivität (Dropdown)]]),"",CONCATENATE(Strom[[#This Row],[Sektor_Thema]]," - ",Strom[[#This Row],[Emissionsquelle/Aktivität (Dropdown)]]))</f>
        <v/>
      </c>
      <c r="N64" s="15" t="str">
        <f>IFERROR(VLOOKUP(Strom[[#This Row],[Thema_Bezeichung]],EFs_Strom[],5,FALSE),"")</f>
        <v/>
      </c>
      <c r="O64" s="15" t="str">
        <f>IFERROR(VLOOKUP(Strom[[#This Row],[Thema_Bezeichung]],EFs_Strom[],6,FALSE),"")</f>
        <v/>
      </c>
      <c r="P64" s="15" t="str">
        <f>IFERROR(VLOOKUP(Strom[[#This Row],[Thema_Bezeichung]],EFs_Strom[],7,FALSE),"")</f>
        <v/>
      </c>
      <c r="Q64" s="15" t="str">
        <f>IFERROR(VLOOKUP(Strom[[#This Row],[Thema_Bezeichung]],EFs_Strom[],11,FALSE),"")</f>
        <v/>
      </c>
      <c r="R64" s="15" t="str">
        <f>IFERROR(Strom[[#This Row],[Wert 
(Zahl)]]*Strom[[#This Row],[Scope 1 Emissionsfaktor '[kg CO2e/Einheit']]],"")</f>
        <v/>
      </c>
      <c r="S64"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4" s="15" t="str">
        <f>IF(Strom[[#This Row],[Emissionsquelle/Aktivität (Dropdown)]]="Strombezug (Grünstrom)",Strom[[#This Row],[Wert 
(Zahl)]]*VLOOKUP("Strom - Strombezug (Strommix Deutschland)",EFs_Strom[],7,FALSE),IFERROR(Strom[[#This Row],[Wert 
(Zahl)]]*Strom[[#This Row],[Scope 3 Emissionsfaktor '[kg CO2e/Einheit']]],""))</f>
        <v/>
      </c>
      <c r="U64" s="15" t="str">
        <f>IFERROR(Strom[[#This Row],[Vermeidungsfaktor '[kg CO2e/Einheit']]]*Strom[[#This Row],[Wert 
(Zahl)]],"")</f>
        <v/>
      </c>
    </row>
    <row r="65" spans="2:21" s="95" customFormat="1" x14ac:dyDescent="0.35">
      <c r="B65" s="407"/>
      <c r="C65" s="10" t="str">
        <f t="shared" si="1"/>
        <v>Strom</v>
      </c>
      <c r="D65" s="96"/>
      <c r="E65" s="96"/>
      <c r="F65" s="313"/>
      <c r="G65" s="10" t="str">
        <f>IFERROR(VLOOKUP(Strom[[#This Row],[Thema_Bezeichung]],Emissionsfaktoren!$C$9:$N$201,4,FALSE),"")</f>
        <v/>
      </c>
      <c r="H65" s="96"/>
      <c r="I65" s="96"/>
      <c r="J65" s="96"/>
      <c r="K65" s="314" t="str">
        <f>IF(ISBLANK(Strom[[#This Row],[Wert 
(Zahl)]]),"", SUM(Strom[[#This Row],[Scope 1 Ergebnis location-based '[kg CO2e']]:[Scope 3 Ergebnis location-based '[kg CO2e']]]))</f>
        <v/>
      </c>
      <c r="L65" s="166"/>
      <c r="M65" s="15" t="str">
        <f>IF(ISBLANK(Strom[[#This Row],[Emissionsquelle/Aktivität (Dropdown)]]),"",CONCATENATE(Strom[[#This Row],[Sektor_Thema]]," - ",Strom[[#This Row],[Emissionsquelle/Aktivität (Dropdown)]]))</f>
        <v/>
      </c>
      <c r="N65" s="15" t="str">
        <f>IFERROR(VLOOKUP(Strom[[#This Row],[Thema_Bezeichung]],EFs_Strom[],5,FALSE),"")</f>
        <v/>
      </c>
      <c r="O65" s="15" t="str">
        <f>IFERROR(VLOOKUP(Strom[[#This Row],[Thema_Bezeichung]],EFs_Strom[],6,FALSE),"")</f>
        <v/>
      </c>
      <c r="P65" s="15" t="str">
        <f>IFERROR(VLOOKUP(Strom[[#This Row],[Thema_Bezeichung]],EFs_Strom[],7,FALSE),"")</f>
        <v/>
      </c>
      <c r="Q65" s="15" t="str">
        <f>IFERROR(VLOOKUP(Strom[[#This Row],[Thema_Bezeichung]],EFs_Strom[],11,FALSE),"")</f>
        <v/>
      </c>
      <c r="R65" s="15" t="str">
        <f>IFERROR(Strom[[#This Row],[Wert 
(Zahl)]]*Strom[[#This Row],[Scope 1 Emissionsfaktor '[kg CO2e/Einheit']]],"")</f>
        <v/>
      </c>
      <c r="S65"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5" s="15" t="str">
        <f>IF(Strom[[#This Row],[Emissionsquelle/Aktivität (Dropdown)]]="Strombezug (Grünstrom)",Strom[[#This Row],[Wert 
(Zahl)]]*VLOOKUP("Strom - Strombezug (Strommix Deutschland)",EFs_Strom[],7,FALSE),IFERROR(Strom[[#This Row],[Wert 
(Zahl)]]*Strom[[#This Row],[Scope 3 Emissionsfaktor '[kg CO2e/Einheit']]],""))</f>
        <v/>
      </c>
      <c r="U65" s="15" t="str">
        <f>IFERROR(Strom[[#This Row],[Vermeidungsfaktor '[kg CO2e/Einheit']]]*Strom[[#This Row],[Wert 
(Zahl)]],"")</f>
        <v/>
      </c>
    </row>
    <row r="66" spans="2:21" s="95" customFormat="1" x14ac:dyDescent="0.35">
      <c r="B66" s="407"/>
      <c r="C66" s="10" t="str">
        <f t="shared" si="1"/>
        <v>Strom</v>
      </c>
      <c r="D66" s="96"/>
      <c r="E66" s="96"/>
      <c r="F66" s="313"/>
      <c r="G66" s="10" t="str">
        <f>IFERROR(VLOOKUP(Strom[[#This Row],[Thema_Bezeichung]],Emissionsfaktoren!$C$9:$N$201,4,FALSE),"")</f>
        <v/>
      </c>
      <c r="H66" s="96"/>
      <c r="I66" s="96"/>
      <c r="J66" s="96"/>
      <c r="K66" s="314" t="str">
        <f>IF(ISBLANK(Strom[[#This Row],[Wert 
(Zahl)]]),"", SUM(Strom[[#This Row],[Scope 1 Ergebnis location-based '[kg CO2e']]:[Scope 3 Ergebnis location-based '[kg CO2e']]]))</f>
        <v/>
      </c>
      <c r="L66" s="166"/>
      <c r="M66" s="15" t="str">
        <f>IF(ISBLANK(Strom[[#This Row],[Emissionsquelle/Aktivität (Dropdown)]]),"",CONCATENATE(Strom[[#This Row],[Sektor_Thema]]," - ",Strom[[#This Row],[Emissionsquelle/Aktivität (Dropdown)]]))</f>
        <v/>
      </c>
      <c r="N66" s="15" t="str">
        <f>IFERROR(VLOOKUP(Strom[[#This Row],[Thema_Bezeichung]],EFs_Strom[],5,FALSE),"")</f>
        <v/>
      </c>
      <c r="O66" s="15" t="str">
        <f>IFERROR(VLOOKUP(Strom[[#This Row],[Thema_Bezeichung]],EFs_Strom[],6,FALSE),"")</f>
        <v/>
      </c>
      <c r="P66" s="15" t="str">
        <f>IFERROR(VLOOKUP(Strom[[#This Row],[Thema_Bezeichung]],EFs_Strom[],7,FALSE),"")</f>
        <v/>
      </c>
      <c r="Q66" s="15" t="str">
        <f>IFERROR(VLOOKUP(Strom[[#This Row],[Thema_Bezeichung]],EFs_Strom[],11,FALSE),"")</f>
        <v/>
      </c>
      <c r="R66" s="15" t="str">
        <f>IFERROR(Strom[[#This Row],[Wert 
(Zahl)]]*Strom[[#This Row],[Scope 1 Emissionsfaktor '[kg CO2e/Einheit']]],"")</f>
        <v/>
      </c>
      <c r="S66"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6" s="15" t="str">
        <f>IF(Strom[[#This Row],[Emissionsquelle/Aktivität (Dropdown)]]="Strombezug (Grünstrom)",Strom[[#This Row],[Wert 
(Zahl)]]*VLOOKUP("Strom - Strombezug (Strommix Deutschland)",EFs_Strom[],7,FALSE),IFERROR(Strom[[#This Row],[Wert 
(Zahl)]]*Strom[[#This Row],[Scope 3 Emissionsfaktor '[kg CO2e/Einheit']]],""))</f>
        <v/>
      </c>
      <c r="U66" s="15" t="str">
        <f>IFERROR(Strom[[#This Row],[Vermeidungsfaktor '[kg CO2e/Einheit']]]*Strom[[#This Row],[Wert 
(Zahl)]],"")</f>
        <v/>
      </c>
    </row>
    <row r="67" spans="2:21" s="95" customFormat="1" x14ac:dyDescent="0.35">
      <c r="B67" s="407"/>
      <c r="C67" s="10" t="str">
        <f t="shared" si="1"/>
        <v>Strom</v>
      </c>
      <c r="D67" s="96"/>
      <c r="E67" s="96"/>
      <c r="F67" s="313"/>
      <c r="G67" s="10" t="str">
        <f>IFERROR(VLOOKUP(Strom[[#This Row],[Thema_Bezeichung]],Emissionsfaktoren!$C$9:$N$201,4,FALSE),"")</f>
        <v/>
      </c>
      <c r="H67" s="96"/>
      <c r="I67" s="96"/>
      <c r="J67" s="96"/>
      <c r="K67" s="314" t="str">
        <f>IF(ISBLANK(Strom[[#This Row],[Wert 
(Zahl)]]),"", SUM(Strom[[#This Row],[Scope 1 Ergebnis location-based '[kg CO2e']]:[Scope 3 Ergebnis location-based '[kg CO2e']]]))</f>
        <v/>
      </c>
      <c r="L67" s="166"/>
      <c r="M67" s="15" t="str">
        <f>IF(ISBLANK(Strom[[#This Row],[Emissionsquelle/Aktivität (Dropdown)]]),"",CONCATENATE(Strom[[#This Row],[Sektor_Thema]]," - ",Strom[[#This Row],[Emissionsquelle/Aktivität (Dropdown)]]))</f>
        <v/>
      </c>
      <c r="N67" s="15" t="str">
        <f>IFERROR(VLOOKUP(Strom[[#This Row],[Thema_Bezeichung]],EFs_Strom[],5,FALSE),"")</f>
        <v/>
      </c>
      <c r="O67" s="15" t="str">
        <f>IFERROR(VLOOKUP(Strom[[#This Row],[Thema_Bezeichung]],EFs_Strom[],6,FALSE),"")</f>
        <v/>
      </c>
      <c r="P67" s="15" t="str">
        <f>IFERROR(VLOOKUP(Strom[[#This Row],[Thema_Bezeichung]],EFs_Strom[],7,FALSE),"")</f>
        <v/>
      </c>
      <c r="Q67" s="15" t="str">
        <f>IFERROR(VLOOKUP(Strom[[#This Row],[Thema_Bezeichung]],EFs_Strom[],11,FALSE),"")</f>
        <v/>
      </c>
      <c r="R67" s="15" t="str">
        <f>IFERROR(Strom[[#This Row],[Wert 
(Zahl)]]*Strom[[#This Row],[Scope 1 Emissionsfaktor '[kg CO2e/Einheit']]],"")</f>
        <v/>
      </c>
      <c r="S67"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7" s="15" t="str">
        <f>IF(Strom[[#This Row],[Emissionsquelle/Aktivität (Dropdown)]]="Strombezug (Grünstrom)",Strom[[#This Row],[Wert 
(Zahl)]]*VLOOKUP("Strom - Strombezug (Strommix Deutschland)",EFs_Strom[],7,FALSE),IFERROR(Strom[[#This Row],[Wert 
(Zahl)]]*Strom[[#This Row],[Scope 3 Emissionsfaktor '[kg CO2e/Einheit']]],""))</f>
        <v/>
      </c>
      <c r="U67" s="15" t="str">
        <f>IFERROR(Strom[[#This Row],[Vermeidungsfaktor '[kg CO2e/Einheit']]]*Strom[[#This Row],[Wert 
(Zahl)]],"")</f>
        <v/>
      </c>
    </row>
    <row r="68" spans="2:21" s="95" customFormat="1" x14ac:dyDescent="0.35">
      <c r="B68" s="407"/>
      <c r="C68" s="10" t="str">
        <f t="shared" si="1"/>
        <v>Strom</v>
      </c>
      <c r="D68" s="96"/>
      <c r="E68" s="96"/>
      <c r="F68" s="313"/>
      <c r="G68" s="10" t="str">
        <f>IFERROR(VLOOKUP(Strom[[#This Row],[Thema_Bezeichung]],Emissionsfaktoren!$C$9:$N$201,4,FALSE),"")</f>
        <v/>
      </c>
      <c r="H68" s="96"/>
      <c r="I68" s="96"/>
      <c r="J68" s="96"/>
      <c r="K68" s="314" t="str">
        <f>IF(ISBLANK(Strom[[#This Row],[Wert 
(Zahl)]]),"", SUM(Strom[[#This Row],[Scope 1 Ergebnis location-based '[kg CO2e']]:[Scope 3 Ergebnis location-based '[kg CO2e']]]))</f>
        <v/>
      </c>
      <c r="L68" s="166"/>
      <c r="M68" s="15" t="str">
        <f>IF(ISBLANK(Strom[[#This Row],[Emissionsquelle/Aktivität (Dropdown)]]),"",CONCATENATE(Strom[[#This Row],[Sektor_Thema]]," - ",Strom[[#This Row],[Emissionsquelle/Aktivität (Dropdown)]]))</f>
        <v/>
      </c>
      <c r="N68" s="15" t="str">
        <f>IFERROR(VLOOKUP(Strom[[#This Row],[Thema_Bezeichung]],EFs_Strom[],5,FALSE),"")</f>
        <v/>
      </c>
      <c r="O68" s="15" t="str">
        <f>IFERROR(VLOOKUP(Strom[[#This Row],[Thema_Bezeichung]],EFs_Strom[],6,FALSE),"")</f>
        <v/>
      </c>
      <c r="P68" s="15" t="str">
        <f>IFERROR(VLOOKUP(Strom[[#This Row],[Thema_Bezeichung]],EFs_Strom[],7,FALSE),"")</f>
        <v/>
      </c>
      <c r="Q68" s="15" t="str">
        <f>IFERROR(VLOOKUP(Strom[[#This Row],[Thema_Bezeichung]],EFs_Strom[],11,FALSE),"")</f>
        <v/>
      </c>
      <c r="R68" s="15" t="str">
        <f>IFERROR(Strom[[#This Row],[Wert 
(Zahl)]]*Strom[[#This Row],[Scope 1 Emissionsfaktor '[kg CO2e/Einheit']]],"")</f>
        <v/>
      </c>
      <c r="S68"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8" s="15" t="str">
        <f>IF(Strom[[#This Row],[Emissionsquelle/Aktivität (Dropdown)]]="Strombezug (Grünstrom)",Strom[[#This Row],[Wert 
(Zahl)]]*VLOOKUP("Strom - Strombezug (Strommix Deutschland)",EFs_Strom[],7,FALSE),IFERROR(Strom[[#This Row],[Wert 
(Zahl)]]*Strom[[#This Row],[Scope 3 Emissionsfaktor '[kg CO2e/Einheit']]],""))</f>
        <v/>
      </c>
      <c r="U68" s="15" t="str">
        <f>IFERROR(Strom[[#This Row],[Vermeidungsfaktor '[kg CO2e/Einheit']]]*Strom[[#This Row],[Wert 
(Zahl)]],"")</f>
        <v/>
      </c>
    </row>
    <row r="69" spans="2:21" s="95" customFormat="1" x14ac:dyDescent="0.35">
      <c r="B69" s="407"/>
      <c r="C69" s="10" t="str">
        <f t="shared" si="1"/>
        <v>Strom</v>
      </c>
      <c r="D69" s="96"/>
      <c r="E69" s="96"/>
      <c r="F69" s="313"/>
      <c r="G69" s="10" t="str">
        <f>IFERROR(VLOOKUP(Strom[[#This Row],[Thema_Bezeichung]],Emissionsfaktoren!$C$9:$N$201,4,FALSE),"")</f>
        <v/>
      </c>
      <c r="H69" s="96"/>
      <c r="I69" s="96"/>
      <c r="J69" s="96"/>
      <c r="K69" s="314" t="str">
        <f>IF(ISBLANK(Strom[[#This Row],[Wert 
(Zahl)]]),"", SUM(Strom[[#This Row],[Scope 1 Ergebnis location-based '[kg CO2e']]:[Scope 3 Ergebnis location-based '[kg CO2e']]]))</f>
        <v/>
      </c>
      <c r="L69" s="166"/>
      <c r="M69" s="15" t="str">
        <f>IF(ISBLANK(Strom[[#This Row],[Emissionsquelle/Aktivität (Dropdown)]]),"",CONCATENATE(Strom[[#This Row],[Sektor_Thema]]," - ",Strom[[#This Row],[Emissionsquelle/Aktivität (Dropdown)]]))</f>
        <v/>
      </c>
      <c r="N69" s="15" t="str">
        <f>IFERROR(VLOOKUP(Strom[[#This Row],[Thema_Bezeichung]],EFs_Strom[],5,FALSE),"")</f>
        <v/>
      </c>
      <c r="O69" s="15" t="str">
        <f>IFERROR(VLOOKUP(Strom[[#This Row],[Thema_Bezeichung]],EFs_Strom[],6,FALSE),"")</f>
        <v/>
      </c>
      <c r="P69" s="15" t="str">
        <f>IFERROR(VLOOKUP(Strom[[#This Row],[Thema_Bezeichung]],EFs_Strom[],7,FALSE),"")</f>
        <v/>
      </c>
      <c r="Q69" s="15" t="str">
        <f>IFERROR(VLOOKUP(Strom[[#This Row],[Thema_Bezeichung]],EFs_Strom[],11,FALSE),"")</f>
        <v/>
      </c>
      <c r="R69" s="15" t="str">
        <f>IFERROR(Strom[[#This Row],[Wert 
(Zahl)]]*Strom[[#This Row],[Scope 1 Emissionsfaktor '[kg CO2e/Einheit']]],"")</f>
        <v/>
      </c>
      <c r="S69"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69" s="15" t="str">
        <f>IF(Strom[[#This Row],[Emissionsquelle/Aktivität (Dropdown)]]="Strombezug (Grünstrom)",Strom[[#This Row],[Wert 
(Zahl)]]*VLOOKUP("Strom - Strombezug (Strommix Deutschland)",EFs_Strom[],7,FALSE),IFERROR(Strom[[#This Row],[Wert 
(Zahl)]]*Strom[[#This Row],[Scope 3 Emissionsfaktor '[kg CO2e/Einheit']]],""))</f>
        <v/>
      </c>
      <c r="U69" s="15" t="str">
        <f>IFERROR(Strom[[#This Row],[Vermeidungsfaktor '[kg CO2e/Einheit']]]*Strom[[#This Row],[Wert 
(Zahl)]],"")</f>
        <v/>
      </c>
    </row>
    <row r="70" spans="2:21" s="95" customFormat="1" x14ac:dyDescent="0.35">
      <c r="B70" s="407"/>
      <c r="C70" s="10" t="str">
        <f t="shared" si="1"/>
        <v>Strom</v>
      </c>
      <c r="D70" s="96"/>
      <c r="E70" s="96"/>
      <c r="F70" s="313"/>
      <c r="G70" s="10" t="str">
        <f>IFERROR(VLOOKUP(Strom[[#This Row],[Thema_Bezeichung]],Emissionsfaktoren!$C$9:$N$201,4,FALSE),"")</f>
        <v/>
      </c>
      <c r="H70" s="96"/>
      <c r="I70" s="96"/>
      <c r="J70" s="96"/>
      <c r="K70" s="314" t="str">
        <f>IF(ISBLANK(Strom[[#This Row],[Wert 
(Zahl)]]),"", SUM(Strom[[#This Row],[Scope 1 Ergebnis location-based '[kg CO2e']]:[Scope 3 Ergebnis location-based '[kg CO2e']]]))</f>
        <v/>
      </c>
      <c r="L70" s="166"/>
      <c r="M70" s="15" t="str">
        <f>IF(ISBLANK(Strom[[#This Row],[Emissionsquelle/Aktivität (Dropdown)]]),"",CONCATENATE(Strom[[#This Row],[Sektor_Thema]]," - ",Strom[[#This Row],[Emissionsquelle/Aktivität (Dropdown)]]))</f>
        <v/>
      </c>
      <c r="N70" s="15" t="str">
        <f>IFERROR(VLOOKUP(Strom[[#This Row],[Thema_Bezeichung]],EFs_Strom[],5,FALSE),"")</f>
        <v/>
      </c>
      <c r="O70" s="15" t="str">
        <f>IFERROR(VLOOKUP(Strom[[#This Row],[Thema_Bezeichung]],EFs_Strom[],6,FALSE),"")</f>
        <v/>
      </c>
      <c r="P70" s="15" t="str">
        <f>IFERROR(VLOOKUP(Strom[[#This Row],[Thema_Bezeichung]],EFs_Strom[],7,FALSE),"")</f>
        <v/>
      </c>
      <c r="Q70" s="15" t="str">
        <f>IFERROR(VLOOKUP(Strom[[#This Row],[Thema_Bezeichung]],EFs_Strom[],11,FALSE),"")</f>
        <v/>
      </c>
      <c r="R70" s="15" t="str">
        <f>IFERROR(Strom[[#This Row],[Wert 
(Zahl)]]*Strom[[#This Row],[Scope 1 Emissionsfaktor '[kg CO2e/Einheit']]],"")</f>
        <v/>
      </c>
      <c r="S70"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70" s="15" t="str">
        <f>IF(Strom[[#This Row],[Emissionsquelle/Aktivität (Dropdown)]]="Strombezug (Grünstrom)",Strom[[#This Row],[Wert 
(Zahl)]]*VLOOKUP("Strom - Strombezug (Strommix Deutschland)",EFs_Strom[],7,FALSE),IFERROR(Strom[[#This Row],[Wert 
(Zahl)]]*Strom[[#This Row],[Scope 3 Emissionsfaktor '[kg CO2e/Einheit']]],""))</f>
        <v/>
      </c>
      <c r="U70" s="15" t="str">
        <f>IFERROR(Strom[[#This Row],[Vermeidungsfaktor '[kg CO2e/Einheit']]]*Strom[[#This Row],[Wert 
(Zahl)]],"")</f>
        <v/>
      </c>
    </row>
    <row r="71" spans="2:21" s="95" customFormat="1" x14ac:dyDescent="0.35">
      <c r="B71" s="407"/>
      <c r="C71" s="10" t="str">
        <f t="shared" si="1"/>
        <v>Strom</v>
      </c>
      <c r="D71" s="96"/>
      <c r="E71" s="96"/>
      <c r="F71" s="313"/>
      <c r="G71" s="10" t="str">
        <f>IFERROR(VLOOKUP(Strom[[#This Row],[Thema_Bezeichung]],Emissionsfaktoren!$C$9:$N$201,4,FALSE),"")</f>
        <v/>
      </c>
      <c r="H71" s="96"/>
      <c r="I71" s="96"/>
      <c r="J71" s="96"/>
      <c r="K71" s="314" t="str">
        <f>IF(ISBLANK(Strom[[#This Row],[Wert 
(Zahl)]]),"", SUM(Strom[[#This Row],[Scope 1 Ergebnis location-based '[kg CO2e']]:[Scope 3 Ergebnis location-based '[kg CO2e']]]))</f>
        <v/>
      </c>
      <c r="L71" s="166"/>
      <c r="M71" s="15" t="str">
        <f>IF(ISBLANK(Strom[[#This Row],[Emissionsquelle/Aktivität (Dropdown)]]),"",CONCATENATE(Strom[[#This Row],[Sektor_Thema]]," - ",Strom[[#This Row],[Emissionsquelle/Aktivität (Dropdown)]]))</f>
        <v/>
      </c>
      <c r="N71" s="15" t="str">
        <f>IFERROR(VLOOKUP(Strom[[#This Row],[Thema_Bezeichung]],EFs_Strom[],5,FALSE),"")</f>
        <v/>
      </c>
      <c r="O71" s="15" t="str">
        <f>IFERROR(VLOOKUP(Strom[[#This Row],[Thema_Bezeichung]],EFs_Strom[],6,FALSE),"")</f>
        <v/>
      </c>
      <c r="P71" s="15" t="str">
        <f>IFERROR(VLOOKUP(Strom[[#This Row],[Thema_Bezeichung]],EFs_Strom[],7,FALSE),"")</f>
        <v/>
      </c>
      <c r="Q71" s="15" t="str">
        <f>IFERROR(VLOOKUP(Strom[[#This Row],[Thema_Bezeichung]],EFs_Strom[],11,FALSE),"")</f>
        <v/>
      </c>
      <c r="R71" s="15" t="str">
        <f>IFERROR(Strom[[#This Row],[Wert 
(Zahl)]]*Strom[[#This Row],[Scope 1 Emissionsfaktor '[kg CO2e/Einheit']]],"")</f>
        <v/>
      </c>
      <c r="S71"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71" s="15" t="str">
        <f>IF(Strom[[#This Row],[Emissionsquelle/Aktivität (Dropdown)]]="Strombezug (Grünstrom)",Strom[[#This Row],[Wert 
(Zahl)]]*VLOOKUP("Strom - Strombezug (Strommix Deutschland)",EFs_Strom[],7,FALSE),IFERROR(Strom[[#This Row],[Wert 
(Zahl)]]*Strom[[#This Row],[Scope 3 Emissionsfaktor '[kg CO2e/Einheit']]],""))</f>
        <v/>
      </c>
      <c r="U71" s="15" t="str">
        <f>IFERROR(Strom[[#This Row],[Vermeidungsfaktor '[kg CO2e/Einheit']]]*Strom[[#This Row],[Wert 
(Zahl)]],"")</f>
        <v/>
      </c>
    </row>
    <row r="72" spans="2:21" s="95" customFormat="1" x14ac:dyDescent="0.35">
      <c r="B72" s="407"/>
      <c r="C72" s="10" t="str">
        <f t="shared" si="1"/>
        <v>Strom</v>
      </c>
      <c r="D72" s="96"/>
      <c r="E72" s="96"/>
      <c r="F72" s="313"/>
      <c r="G72" s="10" t="str">
        <f>IFERROR(VLOOKUP(Strom[[#This Row],[Thema_Bezeichung]],Emissionsfaktoren!$C$9:$N$201,4,FALSE),"")</f>
        <v/>
      </c>
      <c r="H72" s="96"/>
      <c r="I72" s="96"/>
      <c r="J72" s="96"/>
      <c r="K72" s="314" t="str">
        <f>IF(ISBLANK(Strom[[#This Row],[Wert 
(Zahl)]]),"", SUM(Strom[[#This Row],[Scope 1 Ergebnis location-based '[kg CO2e']]:[Scope 3 Ergebnis location-based '[kg CO2e']]]))</f>
        <v/>
      </c>
      <c r="L72" s="166"/>
      <c r="M72" s="15" t="str">
        <f>IF(ISBLANK(Strom[[#This Row],[Emissionsquelle/Aktivität (Dropdown)]]),"",CONCATENATE(Strom[[#This Row],[Sektor_Thema]]," - ",Strom[[#This Row],[Emissionsquelle/Aktivität (Dropdown)]]))</f>
        <v/>
      </c>
      <c r="N72" s="15" t="str">
        <f>IFERROR(VLOOKUP(Strom[[#This Row],[Thema_Bezeichung]],EFs_Strom[],5,FALSE),"")</f>
        <v/>
      </c>
      <c r="O72" s="15" t="str">
        <f>IFERROR(VLOOKUP(Strom[[#This Row],[Thema_Bezeichung]],EFs_Strom[],6,FALSE),"")</f>
        <v/>
      </c>
      <c r="P72" s="15" t="str">
        <f>IFERROR(VLOOKUP(Strom[[#This Row],[Thema_Bezeichung]],EFs_Strom[],7,FALSE),"")</f>
        <v/>
      </c>
      <c r="Q72" s="15" t="str">
        <f>IFERROR(VLOOKUP(Strom[[#This Row],[Thema_Bezeichung]],EFs_Strom[],11,FALSE),"")</f>
        <v/>
      </c>
      <c r="R72" s="15" t="str">
        <f>IFERROR(Strom[[#This Row],[Wert 
(Zahl)]]*Strom[[#This Row],[Scope 1 Emissionsfaktor '[kg CO2e/Einheit']]],"")</f>
        <v/>
      </c>
      <c r="S72"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72" s="15" t="str">
        <f>IF(Strom[[#This Row],[Emissionsquelle/Aktivität (Dropdown)]]="Strombezug (Grünstrom)",Strom[[#This Row],[Wert 
(Zahl)]]*VLOOKUP("Strom - Strombezug (Strommix Deutschland)",EFs_Strom[],7,FALSE),IFERROR(Strom[[#This Row],[Wert 
(Zahl)]]*Strom[[#This Row],[Scope 3 Emissionsfaktor '[kg CO2e/Einheit']]],""))</f>
        <v/>
      </c>
      <c r="U72" s="15" t="str">
        <f>IFERROR(Strom[[#This Row],[Vermeidungsfaktor '[kg CO2e/Einheit']]]*Strom[[#This Row],[Wert 
(Zahl)]],"")</f>
        <v/>
      </c>
    </row>
    <row r="73" spans="2:21" s="95" customFormat="1" x14ac:dyDescent="0.35">
      <c r="B73" s="407"/>
      <c r="C73" s="10" t="str">
        <f t="shared" si="1"/>
        <v>Strom</v>
      </c>
      <c r="D73" s="96"/>
      <c r="E73" s="96"/>
      <c r="F73" s="313"/>
      <c r="G73" s="10" t="str">
        <f>IFERROR(VLOOKUP(Strom[[#This Row],[Thema_Bezeichung]],Emissionsfaktoren!$C$9:$N$201,4,FALSE),"")</f>
        <v/>
      </c>
      <c r="H73" s="96"/>
      <c r="I73" s="96"/>
      <c r="J73" s="96"/>
      <c r="K73" s="314" t="str">
        <f>IF(ISBLANK(Strom[[#This Row],[Wert 
(Zahl)]]),"", SUM(Strom[[#This Row],[Scope 1 Ergebnis location-based '[kg CO2e']]:[Scope 3 Ergebnis location-based '[kg CO2e']]]))</f>
        <v/>
      </c>
      <c r="L73" s="166"/>
      <c r="M73" s="15" t="str">
        <f>IF(ISBLANK(Strom[[#This Row],[Emissionsquelle/Aktivität (Dropdown)]]),"",CONCATENATE(Strom[[#This Row],[Sektor_Thema]]," - ",Strom[[#This Row],[Emissionsquelle/Aktivität (Dropdown)]]))</f>
        <v/>
      </c>
      <c r="N73" s="15" t="str">
        <f>IFERROR(VLOOKUP(Strom[[#This Row],[Thema_Bezeichung]],EFs_Strom[],5,FALSE),"")</f>
        <v/>
      </c>
      <c r="O73" s="15" t="str">
        <f>IFERROR(VLOOKUP(Strom[[#This Row],[Thema_Bezeichung]],EFs_Strom[],6,FALSE),"")</f>
        <v/>
      </c>
      <c r="P73" s="15" t="str">
        <f>IFERROR(VLOOKUP(Strom[[#This Row],[Thema_Bezeichung]],EFs_Strom[],7,FALSE),"")</f>
        <v/>
      </c>
      <c r="Q73" s="15" t="str">
        <f>IFERROR(VLOOKUP(Strom[[#This Row],[Thema_Bezeichung]],EFs_Strom[],11,FALSE),"")</f>
        <v/>
      </c>
      <c r="R73" s="15" t="str">
        <f>IFERROR(Strom[[#This Row],[Wert 
(Zahl)]]*Strom[[#This Row],[Scope 1 Emissionsfaktor '[kg CO2e/Einheit']]],"")</f>
        <v/>
      </c>
      <c r="S73" s="15"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73" s="15" t="str">
        <f>IF(Strom[[#This Row],[Emissionsquelle/Aktivität (Dropdown)]]="Strombezug (Grünstrom)",Strom[[#This Row],[Wert 
(Zahl)]]*VLOOKUP("Strom - Strombezug (Strommix Deutschland)",EFs_Strom[],7,FALSE),IFERROR(Strom[[#This Row],[Wert 
(Zahl)]]*Strom[[#This Row],[Scope 3 Emissionsfaktor '[kg CO2e/Einheit']]],""))</f>
        <v/>
      </c>
      <c r="U73" s="15" t="str">
        <f>IFERROR(Strom[[#This Row],[Vermeidungsfaktor '[kg CO2e/Einheit']]]*Strom[[#This Row],[Wert 
(Zahl)]],"")</f>
        <v/>
      </c>
    </row>
    <row r="74" spans="2:21" s="95" customFormat="1" x14ac:dyDescent="0.35">
      <c r="B74" s="407"/>
      <c r="C74" s="96" t="str">
        <f t="shared" si="1"/>
        <v>Strom</v>
      </c>
      <c r="D74" s="96"/>
      <c r="E74" s="96"/>
      <c r="F74" s="313"/>
      <c r="G74" s="96" t="str">
        <f>IFERROR(VLOOKUP(Strom[[#This Row],[Thema_Bezeichung]],Emissionsfaktoren!$C$9:$N$201,4,FALSE),"")</f>
        <v/>
      </c>
      <c r="H74" s="96"/>
      <c r="I74" s="96"/>
      <c r="J74" s="96"/>
      <c r="K74" s="315" t="str">
        <f>IF(ISBLANK(Strom[[#This Row],[Wert 
(Zahl)]]),"", SUM(Strom[[#This Row],[Scope 1 Ergebnis location-based '[kg CO2e']]:[Scope 3 Ergebnis location-based '[kg CO2e']]]))</f>
        <v/>
      </c>
      <c r="L74" s="167"/>
      <c r="M74" s="100" t="str">
        <f>IF(ISBLANK(Strom[[#This Row],[Emissionsquelle/Aktivität (Dropdown)]]),"",CONCATENATE(Strom[[#This Row],[Sektor_Thema]]," - ",Strom[[#This Row],[Emissionsquelle/Aktivität (Dropdown)]]))</f>
        <v/>
      </c>
      <c r="N74" s="100" t="str">
        <f>IFERROR(VLOOKUP(Strom[[#This Row],[Thema_Bezeichung]],EFs_Strom[],5,FALSE),"")</f>
        <v/>
      </c>
      <c r="O74" s="100" t="str">
        <f>IFERROR(VLOOKUP(Strom[[#This Row],[Thema_Bezeichung]],EFs_Strom[],6,FALSE),"")</f>
        <v/>
      </c>
      <c r="P74" s="100" t="str">
        <f>IFERROR(VLOOKUP(Strom[[#This Row],[Thema_Bezeichung]],EFs_Strom[],7,FALSE),"")</f>
        <v/>
      </c>
      <c r="Q74" s="100" t="str">
        <f>IFERROR(VLOOKUP(Strom[[#This Row],[Thema_Bezeichung]],EFs_Strom[],11,FALSE),"")</f>
        <v/>
      </c>
      <c r="R74" s="100" t="str">
        <f>IFERROR(Strom[[#This Row],[Wert 
(Zahl)]]*Strom[[#This Row],[Scope 1 Emissionsfaktor '[kg CO2e/Einheit']]],"")</f>
        <v/>
      </c>
      <c r="S74" s="100"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74" s="100" t="str">
        <f>IF(Strom[[#This Row],[Emissionsquelle/Aktivität (Dropdown)]]="Strombezug (Grünstrom)",Strom[[#This Row],[Wert 
(Zahl)]]*VLOOKUP("Strom - Strombezug (Strommix Deutschland)",EFs_Strom[],7,FALSE),IFERROR(Strom[[#This Row],[Wert 
(Zahl)]]*Strom[[#This Row],[Scope 3 Emissionsfaktor '[kg CO2e/Einheit']]],""))</f>
        <v/>
      </c>
      <c r="U74" s="100" t="str">
        <f>IFERROR(Strom[[#This Row],[Vermeidungsfaktor '[kg CO2e/Einheit']]]*Strom[[#This Row],[Wert 
(Zahl)]],"")</f>
        <v/>
      </c>
    </row>
    <row r="75" spans="2:21" s="95" customFormat="1" ht="15" thickBot="1" x14ac:dyDescent="0.4">
      <c r="B75" s="408"/>
      <c r="C75" s="96" t="str">
        <f t="shared" si="1"/>
        <v>Strom</v>
      </c>
      <c r="D75" s="96"/>
      <c r="E75" s="96"/>
      <c r="F75" s="313"/>
      <c r="G75" s="96" t="str">
        <f>IFERROR(VLOOKUP(Strom[[#This Row],[Thema_Bezeichung]],Emissionsfaktoren!$C$9:$N$201,4,FALSE),"")</f>
        <v/>
      </c>
      <c r="H75" s="96"/>
      <c r="I75" s="96"/>
      <c r="J75" s="96"/>
      <c r="K75" s="315" t="str">
        <f>IF(ISBLANK(Strom[[#This Row],[Wert 
(Zahl)]]),"", SUM(Strom[[#This Row],[Scope 1 Ergebnis location-based '[kg CO2e']]:[Scope 3 Ergebnis location-based '[kg CO2e']]]))</f>
        <v/>
      </c>
      <c r="L75" s="167"/>
      <c r="M75" s="100" t="str">
        <f>IF(ISBLANK(Strom[[#This Row],[Emissionsquelle/Aktivität (Dropdown)]]),"",CONCATENATE(Strom[[#This Row],[Sektor_Thema]]," - ",Strom[[#This Row],[Emissionsquelle/Aktivität (Dropdown)]]))</f>
        <v/>
      </c>
      <c r="N75" s="100" t="str">
        <f>IFERROR(VLOOKUP(Strom[[#This Row],[Thema_Bezeichung]],EFs_Strom[],5,FALSE),"")</f>
        <v/>
      </c>
      <c r="O75" s="100" t="str">
        <f>IFERROR(VLOOKUP(Strom[[#This Row],[Thema_Bezeichung]],EFs_Strom[],6,FALSE),"")</f>
        <v/>
      </c>
      <c r="P75" s="100" t="str">
        <f>IFERROR(VLOOKUP(Strom[[#This Row],[Thema_Bezeichung]],EFs_Strom[],7,FALSE),"")</f>
        <v/>
      </c>
      <c r="Q75" s="100" t="str">
        <f>IFERROR(VLOOKUP(Strom[[#This Row],[Thema_Bezeichung]],EFs_Strom[],11,FALSE),"")</f>
        <v/>
      </c>
      <c r="R75" s="100" t="str">
        <f>IFERROR(Strom[[#This Row],[Wert 
(Zahl)]]*Strom[[#This Row],[Scope 1 Emissionsfaktor '[kg CO2e/Einheit']]],"")</f>
        <v/>
      </c>
      <c r="S75" s="100" t="str">
        <f>IF(OR(Strom[[#This Row],[Emissionsquelle/Aktivität (Dropdown)]]="Strombezug (Grünstrom)",Strom[[#This Row],[Emissionsquelle/Aktivität (Dropdown)]]="Strombezug (Strommix Energieversorger)"),Strom[[#This Row],[Wert 
(Zahl)]]*VLOOKUP("Strom - Strombezug (Strommix Deutschland)",EFs_Strom[],6,FALSE),IFERROR(Strom[[#This Row],[Wert 
(Zahl)]]*Strom[[#This Row],[Scope 2 Emissionsfaktor '[kg CO2e/Einheit']]],""))</f>
        <v/>
      </c>
      <c r="T75" s="100" t="str">
        <f>IF(Strom[[#This Row],[Emissionsquelle/Aktivität (Dropdown)]]="Strombezug (Grünstrom)",Strom[[#This Row],[Wert 
(Zahl)]]*VLOOKUP("Strom - Strombezug (Strommix Deutschland)",EFs_Strom[],7,FALSE),IFERROR(Strom[[#This Row],[Wert 
(Zahl)]]*Strom[[#This Row],[Scope 3 Emissionsfaktor '[kg CO2e/Einheit']]],""))</f>
        <v/>
      </c>
      <c r="U75" s="100" t="str">
        <f>IFERROR(Strom[[#This Row],[Vermeidungsfaktor '[kg CO2e/Einheit']]]*Strom[[#This Row],[Wert 
(Zahl)]],"")</f>
        <v/>
      </c>
    </row>
    <row r="76" spans="2:21" s="2" customFormat="1" ht="15" thickTop="1" x14ac:dyDescent="0.35">
      <c r="B76" s="13"/>
      <c r="D76" s="117" t="s">
        <v>226</v>
      </c>
      <c r="E76" s="117"/>
      <c r="F76" s="117"/>
      <c r="G76" s="117"/>
      <c r="H76" s="117"/>
      <c r="I76" s="117"/>
      <c r="J76" s="117"/>
      <c r="K76" s="311">
        <f>SUBTOTAL(109,Strom[Ergebnis '[kg CO2e'] (vorausgefüllt)])</f>
        <v>0</v>
      </c>
      <c r="L76" s="168"/>
      <c r="R76" s="2">
        <f>SUBTOTAL(109,Strom[Scope 1 Ergebnis location-based '[kg CO2e']])</f>
        <v>0</v>
      </c>
      <c r="S76" s="2">
        <f>SUBTOTAL(109,Strom[Scope 2 Ergebnis location-based '[kg CO2e']])</f>
        <v>0</v>
      </c>
      <c r="T76" s="2">
        <f>SUBTOTAL(109,Strom[Scope 3 Ergebnis location-based '[kg CO2e']])</f>
        <v>0</v>
      </c>
      <c r="U76" s="2">
        <f>SUBTOTAL(109,Strom[Vermiedene Emissionen '[kg CO2e']])</f>
        <v>0</v>
      </c>
    </row>
    <row r="77" spans="2:21" ht="120" customHeight="1" x14ac:dyDescent="0.35">
      <c r="B77" s="197" t="s">
        <v>85</v>
      </c>
    </row>
    <row r="78" spans="2:21" x14ac:dyDescent="0.35">
      <c r="B78" s="135" t="s">
        <v>86</v>
      </c>
    </row>
    <row r="79" spans="2:21" ht="18.5" x14ac:dyDescent="0.45">
      <c r="B79" s="134" t="s">
        <v>16</v>
      </c>
    </row>
    <row r="80" spans="2:21" ht="96.75" customHeight="1" x14ac:dyDescent="0.35">
      <c r="B80" s="298" t="s">
        <v>93</v>
      </c>
      <c r="C80" s="299"/>
      <c r="D80" s="404" t="s">
        <v>414</v>
      </c>
      <c r="E80" s="404"/>
      <c r="F80" s="404"/>
      <c r="G80" s="404"/>
      <c r="H80" s="404"/>
      <c r="I80" s="405"/>
    </row>
    <row r="81" spans="2:19" x14ac:dyDescent="0.35">
      <c r="C81" t="s">
        <v>54</v>
      </c>
    </row>
    <row r="82" spans="2:19" ht="44" thickBot="1" x14ac:dyDescent="0.4">
      <c r="B82" s="10"/>
      <c r="C82" s="27" t="s">
        <v>51</v>
      </c>
      <c r="D82" s="158" t="s">
        <v>214</v>
      </c>
      <c r="E82" s="158" t="s">
        <v>71</v>
      </c>
      <c r="F82" s="158" t="s">
        <v>72</v>
      </c>
      <c r="G82" s="102" t="s">
        <v>84</v>
      </c>
      <c r="H82" s="158" t="s">
        <v>135</v>
      </c>
      <c r="I82" s="102" t="s">
        <v>80</v>
      </c>
      <c r="J82" s="102" t="s">
        <v>81</v>
      </c>
      <c r="K82" s="142" t="s">
        <v>322</v>
      </c>
      <c r="L82" s="165" t="s">
        <v>133</v>
      </c>
      <c r="M82" s="102" t="s">
        <v>241</v>
      </c>
      <c r="N82" s="102" t="s">
        <v>87</v>
      </c>
      <c r="O82" s="102" t="s">
        <v>89</v>
      </c>
      <c r="P82" s="102" t="s">
        <v>88</v>
      </c>
      <c r="Q82" s="102" t="s">
        <v>92</v>
      </c>
      <c r="R82" s="102" t="s">
        <v>91</v>
      </c>
      <c r="S82" s="102" t="s">
        <v>90</v>
      </c>
    </row>
    <row r="83" spans="2:19" s="95" customFormat="1" ht="15" thickTop="1" x14ac:dyDescent="0.35">
      <c r="B83" s="406" t="s">
        <v>16</v>
      </c>
      <c r="C83" s="10" t="str">
        <f t="shared" ref="C83:C102" si="2">$C$81</f>
        <v>Kühl_und_Kältemittel</v>
      </c>
      <c r="D83" s="96"/>
      <c r="E83" s="96"/>
      <c r="F83" s="313"/>
      <c r="G83" s="10" t="str">
        <f>IFERROR(VLOOKUP(Kühl_und_Kältemittel[[#This Row],[Thema_Bezeichung]],Emissionsfaktoren!$C$9:$N$201,4,FALSE),"")</f>
        <v/>
      </c>
      <c r="H83" s="96"/>
      <c r="I83" s="96"/>
      <c r="J83" s="96"/>
      <c r="K83" s="309" t="str">
        <f>IF(ISBLANK(Kühl_und_Kältemittel[[#This Row],[Wert 
(Zahl)]]),"", SUM(Kühl_und_Kältemittel[[#This Row],[Scope 1 Ergebnis location-based '[kg CO2e']]:[Scope 3 Ergebnis location-based '[kg CO2e']]]))</f>
        <v/>
      </c>
      <c r="L83" s="166"/>
      <c r="M83" s="15" t="str">
        <f>IF(ISBLANK(Kühl_und_Kältemittel[[#This Row],[Emissionsquelle/Aktivität (Dropdown)]]),"",CONCATENATE(Kühl_und_Kältemittel[[#This Row],[Sektor_Thema]]," - ",Kühl_und_Kältemittel[[#This Row],[Emissionsquelle/Aktivität (Dropdown)]]))</f>
        <v/>
      </c>
      <c r="N83" s="15" t="str">
        <f>IFERROR(VLOOKUP(Kühl_und_Kältemittel[[#This Row],[Thema_Bezeichung]],EFs_Kühlmittel[],5,FALSE),"")</f>
        <v/>
      </c>
      <c r="O83" s="15" t="str">
        <f>IFERROR(VLOOKUP(Kühl_und_Kältemittel[[#This Row],[Thema_Bezeichung]],EFs_Kühlmittel[],6,FALSE),"")</f>
        <v/>
      </c>
      <c r="P83" s="15" t="str">
        <f>IFERROR(VLOOKUP(Kühl_und_Kältemittel[[#This Row],[Thema_Bezeichung]],EFs_Kühlmittel[],7,FALSE),"")</f>
        <v/>
      </c>
      <c r="Q83" s="15" t="str">
        <f>IFERROR(Kühl_und_Kältemittel[[#This Row],[Wert 
(Zahl)]]*Kühl_und_Kältemittel[[#This Row],[Scope 1 Emissionsfaktor '[kg CO2e/Einheit']]],"")</f>
        <v/>
      </c>
      <c r="R83" s="15" t="str">
        <f>IFERROR(Kühl_und_Kältemittel[[#This Row],[Wert 
(Zahl)]]*Kühl_und_Kältemittel[[#This Row],[Scope 2 Emissionsfaktor '[kg CO2e/Einheit']]],"")</f>
        <v/>
      </c>
      <c r="S83" s="15" t="str">
        <f>IFERROR(Kühl_und_Kältemittel[[#This Row],[Wert 
(Zahl)]]*Kühl_und_Kältemittel[[#This Row],[Scope 3 Emissionsfaktor '[kg CO2e/Einheit']]],"")</f>
        <v/>
      </c>
    </row>
    <row r="84" spans="2:19" s="95" customFormat="1" x14ac:dyDescent="0.35">
      <c r="B84" s="407"/>
      <c r="C84" s="10" t="str">
        <f t="shared" si="2"/>
        <v>Kühl_und_Kältemittel</v>
      </c>
      <c r="D84" s="96"/>
      <c r="E84" s="96"/>
      <c r="F84" s="313"/>
      <c r="G84" s="10"/>
      <c r="H84" s="96"/>
      <c r="I84" s="96"/>
      <c r="J84" s="96"/>
      <c r="K84" s="309" t="str">
        <f>IF(ISBLANK(Kühl_und_Kältemittel[[#This Row],[Wert 
(Zahl)]]),"", SUM(Kühl_und_Kältemittel[[#This Row],[Scope 1 Ergebnis location-based '[kg CO2e']]:[Scope 3 Ergebnis location-based '[kg CO2e']]]))</f>
        <v/>
      </c>
      <c r="L84" s="166"/>
      <c r="M84" s="15" t="str">
        <f>IF(ISBLANK(Kühl_und_Kältemittel[[#This Row],[Emissionsquelle/Aktivität (Dropdown)]]),"",CONCATENATE(Kühl_und_Kältemittel[[#This Row],[Sektor_Thema]]," - ",Kühl_und_Kältemittel[[#This Row],[Emissionsquelle/Aktivität (Dropdown)]]))</f>
        <v/>
      </c>
      <c r="N84" s="15" t="str">
        <f>IFERROR(VLOOKUP(Kühl_und_Kältemittel[[#This Row],[Thema_Bezeichung]],EFs_Kühlmittel[],5,FALSE),"")</f>
        <v/>
      </c>
      <c r="O84" s="15" t="str">
        <f>IFERROR(VLOOKUP(Kühl_und_Kältemittel[[#This Row],[Thema_Bezeichung]],EFs_Kühlmittel[],6,FALSE),"")</f>
        <v/>
      </c>
      <c r="P84" s="15" t="str">
        <f>IFERROR(VLOOKUP(Kühl_und_Kältemittel[[#This Row],[Thema_Bezeichung]],EFs_Kühlmittel[],7,FALSE),"")</f>
        <v/>
      </c>
      <c r="Q84" s="15" t="str">
        <f>IFERROR(Kühl_und_Kältemittel[[#This Row],[Wert 
(Zahl)]]*Kühl_und_Kältemittel[[#This Row],[Scope 1 Emissionsfaktor '[kg CO2e/Einheit']]],"")</f>
        <v/>
      </c>
      <c r="R84" s="15" t="str">
        <f>IFERROR(Kühl_und_Kältemittel[[#This Row],[Wert 
(Zahl)]]*Kühl_und_Kältemittel[[#This Row],[Scope 2 Emissionsfaktor '[kg CO2e/Einheit']]],"")</f>
        <v/>
      </c>
      <c r="S84" s="15" t="str">
        <f>IFERROR(Kühl_und_Kältemittel[[#This Row],[Wert 
(Zahl)]]*Kühl_und_Kältemittel[[#This Row],[Scope 3 Emissionsfaktor '[kg CO2e/Einheit']]],"")</f>
        <v/>
      </c>
    </row>
    <row r="85" spans="2:19" s="95" customFormat="1" x14ac:dyDescent="0.35">
      <c r="B85" s="407"/>
      <c r="C85" s="10" t="str">
        <f t="shared" si="2"/>
        <v>Kühl_und_Kältemittel</v>
      </c>
      <c r="D85" s="96"/>
      <c r="E85" s="96"/>
      <c r="F85" s="313"/>
      <c r="G85" s="10" t="str">
        <f>IFERROR(VLOOKUP(Kühl_und_Kältemittel[[#This Row],[Thema_Bezeichung]],Emissionsfaktoren!$C$9:$N$201,4,FALSE),"")</f>
        <v/>
      </c>
      <c r="H85" s="96"/>
      <c r="I85" s="96"/>
      <c r="J85" s="96"/>
      <c r="K85" s="309" t="str">
        <f>IF(ISBLANK(Kühl_und_Kältemittel[[#This Row],[Wert 
(Zahl)]]),"", SUM(Kühl_und_Kältemittel[[#This Row],[Scope 1 Ergebnis location-based '[kg CO2e']]:[Scope 3 Ergebnis location-based '[kg CO2e']]]))</f>
        <v/>
      </c>
      <c r="L85" s="166"/>
      <c r="M85" s="15" t="str">
        <f>IF(ISBLANK(Kühl_und_Kältemittel[[#This Row],[Emissionsquelle/Aktivität (Dropdown)]]),"",CONCATENATE(Kühl_und_Kältemittel[[#This Row],[Sektor_Thema]]," - ",Kühl_und_Kältemittel[[#This Row],[Emissionsquelle/Aktivität (Dropdown)]]))</f>
        <v/>
      </c>
      <c r="N85" s="15" t="str">
        <f>IFERROR(VLOOKUP(Kühl_und_Kältemittel[[#This Row],[Thema_Bezeichung]],EFs_Kühlmittel[],5,FALSE),"")</f>
        <v/>
      </c>
      <c r="O85" s="15" t="str">
        <f>IFERROR(VLOOKUP(Kühl_und_Kältemittel[[#This Row],[Thema_Bezeichung]],EFs_Kühlmittel[],6,FALSE),"")</f>
        <v/>
      </c>
      <c r="P85" s="15" t="str">
        <f>IFERROR(VLOOKUP(Kühl_und_Kältemittel[[#This Row],[Thema_Bezeichung]],EFs_Kühlmittel[],7,FALSE),"")</f>
        <v/>
      </c>
      <c r="Q85" s="15" t="str">
        <f>IFERROR(Kühl_und_Kältemittel[[#This Row],[Wert 
(Zahl)]]*Kühl_und_Kältemittel[[#This Row],[Scope 1 Emissionsfaktor '[kg CO2e/Einheit']]],"")</f>
        <v/>
      </c>
      <c r="R85" s="15" t="str">
        <f>IFERROR(Kühl_und_Kältemittel[[#This Row],[Wert 
(Zahl)]]*Kühl_und_Kältemittel[[#This Row],[Scope 2 Emissionsfaktor '[kg CO2e/Einheit']]],"")</f>
        <v/>
      </c>
      <c r="S85" s="15" t="str">
        <f>IFERROR(Kühl_und_Kältemittel[[#This Row],[Wert 
(Zahl)]]*Kühl_und_Kältemittel[[#This Row],[Scope 3 Emissionsfaktor '[kg CO2e/Einheit']]],"")</f>
        <v/>
      </c>
    </row>
    <row r="86" spans="2:19" s="95" customFormat="1" x14ac:dyDescent="0.35">
      <c r="B86" s="407"/>
      <c r="C86" s="10" t="str">
        <f t="shared" si="2"/>
        <v>Kühl_und_Kältemittel</v>
      </c>
      <c r="D86" s="96"/>
      <c r="E86" s="96"/>
      <c r="F86" s="313"/>
      <c r="G86" s="10" t="str">
        <f>IFERROR(VLOOKUP(Kühl_und_Kältemittel[[#This Row],[Thema_Bezeichung]],Emissionsfaktoren!$C$9:$N$201,4,FALSE),"")</f>
        <v/>
      </c>
      <c r="H86" s="96"/>
      <c r="I86" s="96"/>
      <c r="J86" s="96"/>
      <c r="K86" s="309" t="str">
        <f>IF(ISBLANK(Kühl_und_Kältemittel[[#This Row],[Wert 
(Zahl)]]),"", SUM(Kühl_und_Kältemittel[[#This Row],[Scope 1 Ergebnis location-based '[kg CO2e']]:[Scope 3 Ergebnis location-based '[kg CO2e']]]))</f>
        <v/>
      </c>
      <c r="L86" s="166"/>
      <c r="M86" s="15" t="str">
        <f>IF(ISBLANK(Kühl_und_Kältemittel[[#This Row],[Emissionsquelle/Aktivität (Dropdown)]]),"",CONCATENATE(Kühl_und_Kältemittel[[#This Row],[Sektor_Thema]]," - ",Kühl_und_Kältemittel[[#This Row],[Emissionsquelle/Aktivität (Dropdown)]]))</f>
        <v/>
      </c>
      <c r="N86" s="15" t="str">
        <f>IFERROR(VLOOKUP(Kühl_und_Kältemittel[[#This Row],[Thema_Bezeichung]],EFs_Kühlmittel[],5,FALSE),"")</f>
        <v/>
      </c>
      <c r="O86" s="15" t="str">
        <f>IFERROR(VLOOKUP(Kühl_und_Kältemittel[[#This Row],[Thema_Bezeichung]],EFs_Kühlmittel[],6,FALSE),"")</f>
        <v/>
      </c>
      <c r="P86" s="15" t="str">
        <f>IFERROR(VLOOKUP(Kühl_und_Kältemittel[[#This Row],[Thema_Bezeichung]],EFs_Kühlmittel[],7,FALSE),"")</f>
        <v/>
      </c>
      <c r="Q86" s="15" t="str">
        <f>IFERROR(Kühl_und_Kältemittel[[#This Row],[Wert 
(Zahl)]]*Kühl_und_Kältemittel[[#This Row],[Scope 1 Emissionsfaktor '[kg CO2e/Einheit']]],"")</f>
        <v/>
      </c>
      <c r="R86" s="15" t="str">
        <f>IFERROR(Kühl_und_Kältemittel[[#This Row],[Wert 
(Zahl)]]*Kühl_und_Kältemittel[[#This Row],[Scope 2 Emissionsfaktor '[kg CO2e/Einheit']]],"")</f>
        <v/>
      </c>
      <c r="S86" s="15" t="str">
        <f>IFERROR(Kühl_und_Kältemittel[[#This Row],[Wert 
(Zahl)]]*Kühl_und_Kältemittel[[#This Row],[Scope 3 Emissionsfaktor '[kg CO2e/Einheit']]],"")</f>
        <v/>
      </c>
    </row>
    <row r="87" spans="2:19" s="95" customFormat="1" x14ac:dyDescent="0.35">
      <c r="B87" s="407"/>
      <c r="C87" s="10" t="str">
        <f t="shared" si="2"/>
        <v>Kühl_und_Kältemittel</v>
      </c>
      <c r="D87" s="96"/>
      <c r="E87" s="96"/>
      <c r="F87" s="313"/>
      <c r="G87" s="10" t="str">
        <f>IFERROR(VLOOKUP(Kühl_und_Kältemittel[[#This Row],[Thema_Bezeichung]],Emissionsfaktoren!$C$9:$N$201,4,FALSE),"")</f>
        <v/>
      </c>
      <c r="H87" s="96"/>
      <c r="I87" s="96"/>
      <c r="J87" s="96"/>
      <c r="K87" s="309" t="str">
        <f>IF(ISBLANK(Kühl_und_Kältemittel[[#This Row],[Wert 
(Zahl)]]),"", SUM(Kühl_und_Kältemittel[[#This Row],[Scope 1 Ergebnis location-based '[kg CO2e']]:[Scope 3 Ergebnis location-based '[kg CO2e']]]))</f>
        <v/>
      </c>
      <c r="L87" s="166"/>
      <c r="M87" s="15" t="str">
        <f>IF(ISBLANK(Kühl_und_Kältemittel[[#This Row],[Emissionsquelle/Aktivität (Dropdown)]]),"",CONCATENATE(Kühl_und_Kältemittel[[#This Row],[Sektor_Thema]]," - ",Kühl_und_Kältemittel[[#This Row],[Emissionsquelle/Aktivität (Dropdown)]]))</f>
        <v/>
      </c>
      <c r="N87" s="15" t="str">
        <f>IFERROR(VLOOKUP(Kühl_und_Kältemittel[[#This Row],[Thema_Bezeichung]],EFs_Kühlmittel[],5,FALSE),"")</f>
        <v/>
      </c>
      <c r="O87" s="15" t="str">
        <f>IFERROR(VLOOKUP(Kühl_und_Kältemittel[[#This Row],[Thema_Bezeichung]],EFs_Kühlmittel[],6,FALSE),"")</f>
        <v/>
      </c>
      <c r="P87" s="15" t="str">
        <f>IFERROR(VLOOKUP(Kühl_und_Kältemittel[[#This Row],[Thema_Bezeichung]],EFs_Kühlmittel[],7,FALSE),"")</f>
        <v/>
      </c>
      <c r="Q87" s="15" t="str">
        <f>IFERROR(Kühl_und_Kältemittel[[#This Row],[Wert 
(Zahl)]]*Kühl_und_Kältemittel[[#This Row],[Scope 1 Emissionsfaktor '[kg CO2e/Einheit']]],"")</f>
        <v/>
      </c>
      <c r="R87" s="15" t="str">
        <f>IFERROR(Kühl_und_Kältemittel[[#This Row],[Wert 
(Zahl)]]*Kühl_und_Kältemittel[[#This Row],[Scope 2 Emissionsfaktor '[kg CO2e/Einheit']]],"")</f>
        <v/>
      </c>
      <c r="S87" s="15" t="str">
        <f>IFERROR(Kühl_und_Kältemittel[[#This Row],[Wert 
(Zahl)]]*Kühl_und_Kältemittel[[#This Row],[Scope 3 Emissionsfaktor '[kg CO2e/Einheit']]],"")</f>
        <v/>
      </c>
    </row>
    <row r="88" spans="2:19" s="95" customFormat="1" x14ac:dyDescent="0.35">
      <c r="B88" s="407"/>
      <c r="C88" s="10" t="str">
        <f t="shared" si="2"/>
        <v>Kühl_und_Kältemittel</v>
      </c>
      <c r="D88" s="96"/>
      <c r="E88" s="96"/>
      <c r="F88" s="313"/>
      <c r="G88" s="10" t="str">
        <f>IFERROR(VLOOKUP(Kühl_und_Kältemittel[[#This Row],[Thema_Bezeichung]],Emissionsfaktoren!$C$9:$N$201,4,FALSE),"")</f>
        <v/>
      </c>
      <c r="H88" s="96"/>
      <c r="I88" s="96"/>
      <c r="J88" s="96"/>
      <c r="K88" s="309" t="str">
        <f>IF(ISBLANK(Kühl_und_Kältemittel[[#This Row],[Wert 
(Zahl)]]),"", SUM(Kühl_und_Kältemittel[[#This Row],[Scope 1 Ergebnis location-based '[kg CO2e']]:[Scope 3 Ergebnis location-based '[kg CO2e']]]))</f>
        <v/>
      </c>
      <c r="L88" s="166"/>
      <c r="M88" s="15" t="str">
        <f>IF(ISBLANK(Kühl_und_Kältemittel[[#This Row],[Emissionsquelle/Aktivität (Dropdown)]]),"",CONCATENATE(Kühl_und_Kältemittel[[#This Row],[Sektor_Thema]]," - ",Kühl_und_Kältemittel[[#This Row],[Emissionsquelle/Aktivität (Dropdown)]]))</f>
        <v/>
      </c>
      <c r="N88" s="15" t="str">
        <f>IFERROR(VLOOKUP(Kühl_und_Kältemittel[[#This Row],[Thema_Bezeichung]],EFs_Kühlmittel[],5,FALSE),"")</f>
        <v/>
      </c>
      <c r="O88" s="15" t="str">
        <f>IFERROR(VLOOKUP(Kühl_und_Kältemittel[[#This Row],[Thema_Bezeichung]],EFs_Kühlmittel[],6,FALSE),"")</f>
        <v/>
      </c>
      <c r="P88" s="15" t="str">
        <f>IFERROR(VLOOKUP(Kühl_und_Kältemittel[[#This Row],[Thema_Bezeichung]],EFs_Kühlmittel[],7,FALSE),"")</f>
        <v/>
      </c>
      <c r="Q88" s="15" t="str">
        <f>IFERROR(Kühl_und_Kältemittel[[#This Row],[Wert 
(Zahl)]]*Kühl_und_Kältemittel[[#This Row],[Scope 1 Emissionsfaktor '[kg CO2e/Einheit']]],"")</f>
        <v/>
      </c>
      <c r="R88" s="15" t="str">
        <f>IFERROR(Kühl_und_Kältemittel[[#This Row],[Wert 
(Zahl)]]*Kühl_und_Kältemittel[[#This Row],[Scope 2 Emissionsfaktor '[kg CO2e/Einheit']]],"")</f>
        <v/>
      </c>
      <c r="S88" s="15" t="str">
        <f>IFERROR(Kühl_und_Kältemittel[[#This Row],[Wert 
(Zahl)]]*Kühl_und_Kältemittel[[#This Row],[Scope 3 Emissionsfaktor '[kg CO2e/Einheit']]],"")</f>
        <v/>
      </c>
    </row>
    <row r="89" spans="2:19" s="95" customFormat="1" x14ac:dyDescent="0.35">
      <c r="B89" s="407"/>
      <c r="C89" s="10" t="str">
        <f t="shared" si="2"/>
        <v>Kühl_und_Kältemittel</v>
      </c>
      <c r="D89" s="96"/>
      <c r="E89" s="96"/>
      <c r="F89" s="313"/>
      <c r="G89" s="10" t="str">
        <f>IFERROR(VLOOKUP(Kühl_und_Kältemittel[[#This Row],[Thema_Bezeichung]],Emissionsfaktoren!$C$9:$N$201,4,FALSE),"")</f>
        <v/>
      </c>
      <c r="H89" s="96"/>
      <c r="I89" s="96"/>
      <c r="J89" s="96"/>
      <c r="K89" s="309" t="str">
        <f>IF(ISBLANK(Kühl_und_Kältemittel[[#This Row],[Wert 
(Zahl)]]),"", SUM(Kühl_und_Kältemittel[[#This Row],[Scope 1 Ergebnis location-based '[kg CO2e']]:[Scope 3 Ergebnis location-based '[kg CO2e']]]))</f>
        <v/>
      </c>
      <c r="L89" s="166"/>
      <c r="M89" s="15" t="str">
        <f>IF(ISBLANK(Kühl_und_Kältemittel[[#This Row],[Emissionsquelle/Aktivität (Dropdown)]]),"",CONCATENATE(Kühl_und_Kältemittel[[#This Row],[Sektor_Thema]]," - ",Kühl_und_Kältemittel[[#This Row],[Emissionsquelle/Aktivität (Dropdown)]]))</f>
        <v/>
      </c>
      <c r="N89" s="15" t="str">
        <f>IFERROR(VLOOKUP(Kühl_und_Kältemittel[[#This Row],[Thema_Bezeichung]],EFs_Kühlmittel[],5,FALSE),"")</f>
        <v/>
      </c>
      <c r="O89" s="15" t="str">
        <f>IFERROR(VLOOKUP(Kühl_und_Kältemittel[[#This Row],[Thema_Bezeichung]],EFs_Kühlmittel[],6,FALSE),"")</f>
        <v/>
      </c>
      <c r="P89" s="15" t="str">
        <f>IFERROR(VLOOKUP(Kühl_und_Kältemittel[[#This Row],[Thema_Bezeichung]],EFs_Kühlmittel[],7,FALSE),"")</f>
        <v/>
      </c>
      <c r="Q89" s="15" t="str">
        <f>IFERROR(Kühl_und_Kältemittel[[#This Row],[Wert 
(Zahl)]]*Kühl_und_Kältemittel[[#This Row],[Scope 1 Emissionsfaktor '[kg CO2e/Einheit']]],"")</f>
        <v/>
      </c>
      <c r="R89" s="15" t="str">
        <f>IFERROR(Kühl_und_Kältemittel[[#This Row],[Wert 
(Zahl)]]*Kühl_und_Kältemittel[[#This Row],[Scope 2 Emissionsfaktor '[kg CO2e/Einheit']]],"")</f>
        <v/>
      </c>
      <c r="S89" s="15" t="str">
        <f>IFERROR(Kühl_und_Kältemittel[[#This Row],[Wert 
(Zahl)]]*Kühl_und_Kältemittel[[#This Row],[Scope 3 Emissionsfaktor '[kg CO2e/Einheit']]],"")</f>
        <v/>
      </c>
    </row>
    <row r="90" spans="2:19" s="95" customFormat="1" x14ac:dyDescent="0.35">
      <c r="B90" s="407"/>
      <c r="C90" s="10" t="str">
        <f t="shared" si="2"/>
        <v>Kühl_und_Kältemittel</v>
      </c>
      <c r="D90" s="96"/>
      <c r="E90" s="96"/>
      <c r="F90" s="313"/>
      <c r="G90" s="10" t="str">
        <f>IFERROR(VLOOKUP(Kühl_und_Kältemittel[[#This Row],[Thema_Bezeichung]],Emissionsfaktoren!$C$9:$N$201,4,FALSE),"")</f>
        <v/>
      </c>
      <c r="H90" s="96"/>
      <c r="I90" s="96"/>
      <c r="J90" s="96"/>
      <c r="K90" s="309" t="str">
        <f>IF(ISBLANK(Kühl_und_Kältemittel[[#This Row],[Wert 
(Zahl)]]),"", SUM(Kühl_und_Kältemittel[[#This Row],[Scope 1 Ergebnis location-based '[kg CO2e']]:[Scope 3 Ergebnis location-based '[kg CO2e']]]))</f>
        <v/>
      </c>
      <c r="L90" s="166"/>
      <c r="M90" s="15" t="str">
        <f>IF(ISBLANK(Kühl_und_Kältemittel[[#This Row],[Emissionsquelle/Aktivität (Dropdown)]]),"",CONCATENATE(Kühl_und_Kältemittel[[#This Row],[Sektor_Thema]]," - ",Kühl_und_Kältemittel[[#This Row],[Emissionsquelle/Aktivität (Dropdown)]]))</f>
        <v/>
      </c>
      <c r="N90" s="15" t="str">
        <f>IFERROR(VLOOKUP(Kühl_und_Kältemittel[[#This Row],[Thema_Bezeichung]],EFs_Kühlmittel[],5,FALSE),"")</f>
        <v/>
      </c>
      <c r="O90" s="15" t="str">
        <f>IFERROR(VLOOKUP(Kühl_und_Kältemittel[[#This Row],[Thema_Bezeichung]],EFs_Kühlmittel[],6,FALSE),"")</f>
        <v/>
      </c>
      <c r="P90" s="15" t="str">
        <f>IFERROR(VLOOKUP(Kühl_und_Kältemittel[[#This Row],[Thema_Bezeichung]],EFs_Kühlmittel[],7,FALSE),"")</f>
        <v/>
      </c>
      <c r="Q90" s="15" t="str">
        <f>IFERROR(Kühl_und_Kältemittel[[#This Row],[Wert 
(Zahl)]]*Kühl_und_Kältemittel[[#This Row],[Scope 1 Emissionsfaktor '[kg CO2e/Einheit']]],"")</f>
        <v/>
      </c>
      <c r="R90" s="15" t="str">
        <f>IFERROR(Kühl_und_Kältemittel[[#This Row],[Wert 
(Zahl)]]*Kühl_und_Kältemittel[[#This Row],[Scope 2 Emissionsfaktor '[kg CO2e/Einheit']]],"")</f>
        <v/>
      </c>
      <c r="S90" s="15" t="str">
        <f>IFERROR(Kühl_und_Kältemittel[[#This Row],[Wert 
(Zahl)]]*Kühl_und_Kältemittel[[#This Row],[Scope 3 Emissionsfaktor '[kg CO2e/Einheit']]],"")</f>
        <v/>
      </c>
    </row>
    <row r="91" spans="2:19" s="95" customFormat="1" x14ac:dyDescent="0.35">
      <c r="B91" s="407"/>
      <c r="C91" s="10" t="str">
        <f t="shared" si="2"/>
        <v>Kühl_und_Kältemittel</v>
      </c>
      <c r="D91" s="96"/>
      <c r="E91" s="96"/>
      <c r="F91" s="313"/>
      <c r="G91" s="10" t="str">
        <f>IFERROR(VLOOKUP(Kühl_und_Kältemittel[[#This Row],[Thema_Bezeichung]],Emissionsfaktoren!$C$9:$N$201,4,FALSE),"")</f>
        <v/>
      </c>
      <c r="H91" s="96"/>
      <c r="I91" s="96"/>
      <c r="J91" s="96"/>
      <c r="K91" s="309" t="str">
        <f>IF(ISBLANK(Kühl_und_Kältemittel[[#This Row],[Wert 
(Zahl)]]),"", SUM(Kühl_und_Kältemittel[[#This Row],[Scope 1 Ergebnis location-based '[kg CO2e']]:[Scope 3 Ergebnis location-based '[kg CO2e']]]))</f>
        <v/>
      </c>
      <c r="L91" s="166"/>
      <c r="M91" s="15" t="str">
        <f>IF(ISBLANK(Kühl_und_Kältemittel[[#This Row],[Emissionsquelle/Aktivität (Dropdown)]]),"",CONCATENATE(Kühl_und_Kältemittel[[#This Row],[Sektor_Thema]]," - ",Kühl_und_Kältemittel[[#This Row],[Emissionsquelle/Aktivität (Dropdown)]]))</f>
        <v/>
      </c>
      <c r="N91" s="15" t="str">
        <f>IFERROR(VLOOKUP(Kühl_und_Kältemittel[[#This Row],[Thema_Bezeichung]],EFs_Kühlmittel[],5,FALSE),"")</f>
        <v/>
      </c>
      <c r="O91" s="15" t="str">
        <f>IFERROR(VLOOKUP(Kühl_und_Kältemittel[[#This Row],[Thema_Bezeichung]],EFs_Kühlmittel[],6,FALSE),"")</f>
        <v/>
      </c>
      <c r="P91" s="15" t="str">
        <f>IFERROR(VLOOKUP(Kühl_und_Kältemittel[[#This Row],[Thema_Bezeichung]],EFs_Kühlmittel[],7,FALSE),"")</f>
        <v/>
      </c>
      <c r="Q91" s="15" t="str">
        <f>IFERROR(Kühl_und_Kältemittel[[#This Row],[Wert 
(Zahl)]]*Kühl_und_Kältemittel[[#This Row],[Scope 1 Emissionsfaktor '[kg CO2e/Einheit']]],"")</f>
        <v/>
      </c>
      <c r="R91" s="15" t="str">
        <f>IFERROR(Kühl_und_Kältemittel[[#This Row],[Wert 
(Zahl)]]*Kühl_und_Kältemittel[[#This Row],[Scope 2 Emissionsfaktor '[kg CO2e/Einheit']]],"")</f>
        <v/>
      </c>
      <c r="S91" s="15" t="str">
        <f>IFERROR(Kühl_und_Kältemittel[[#This Row],[Wert 
(Zahl)]]*Kühl_und_Kältemittel[[#This Row],[Scope 3 Emissionsfaktor '[kg CO2e/Einheit']]],"")</f>
        <v/>
      </c>
    </row>
    <row r="92" spans="2:19" s="95" customFormat="1" x14ac:dyDescent="0.35">
      <c r="B92" s="407"/>
      <c r="C92" s="10" t="str">
        <f t="shared" si="2"/>
        <v>Kühl_und_Kältemittel</v>
      </c>
      <c r="D92" s="96"/>
      <c r="E92" s="96"/>
      <c r="F92" s="313"/>
      <c r="G92" s="10" t="str">
        <f>IFERROR(VLOOKUP(Kühl_und_Kältemittel[[#This Row],[Thema_Bezeichung]],Emissionsfaktoren!$C$9:$N$201,4,FALSE),"")</f>
        <v/>
      </c>
      <c r="H92" s="96"/>
      <c r="I92" s="96"/>
      <c r="J92" s="96"/>
      <c r="K92" s="309" t="str">
        <f>IF(ISBLANK(Kühl_und_Kältemittel[[#This Row],[Wert 
(Zahl)]]),"", SUM(Kühl_und_Kältemittel[[#This Row],[Scope 1 Ergebnis location-based '[kg CO2e']]:[Scope 3 Ergebnis location-based '[kg CO2e']]]))</f>
        <v/>
      </c>
      <c r="L92" s="166"/>
      <c r="M92" s="15" t="str">
        <f>IF(ISBLANK(Kühl_und_Kältemittel[[#This Row],[Emissionsquelle/Aktivität (Dropdown)]]),"",CONCATENATE(Kühl_und_Kältemittel[[#This Row],[Sektor_Thema]]," - ",Kühl_und_Kältemittel[[#This Row],[Emissionsquelle/Aktivität (Dropdown)]]))</f>
        <v/>
      </c>
      <c r="N92" s="15" t="str">
        <f>IFERROR(VLOOKUP(Kühl_und_Kältemittel[[#This Row],[Thema_Bezeichung]],EFs_Kühlmittel[],5,FALSE),"")</f>
        <v/>
      </c>
      <c r="O92" s="15" t="str">
        <f>IFERROR(VLOOKUP(Kühl_und_Kältemittel[[#This Row],[Thema_Bezeichung]],EFs_Kühlmittel[],6,FALSE),"")</f>
        <v/>
      </c>
      <c r="P92" s="15" t="str">
        <f>IFERROR(VLOOKUP(Kühl_und_Kältemittel[[#This Row],[Thema_Bezeichung]],EFs_Kühlmittel[],7,FALSE),"")</f>
        <v/>
      </c>
      <c r="Q92" s="15" t="str">
        <f>IFERROR(Kühl_und_Kältemittel[[#This Row],[Wert 
(Zahl)]]*Kühl_und_Kältemittel[[#This Row],[Scope 1 Emissionsfaktor '[kg CO2e/Einheit']]],"")</f>
        <v/>
      </c>
      <c r="R92" s="15" t="str">
        <f>IFERROR(Kühl_und_Kältemittel[[#This Row],[Wert 
(Zahl)]]*Kühl_und_Kältemittel[[#This Row],[Scope 2 Emissionsfaktor '[kg CO2e/Einheit']]],"")</f>
        <v/>
      </c>
      <c r="S92" s="15" t="str">
        <f>IFERROR(Kühl_und_Kältemittel[[#This Row],[Wert 
(Zahl)]]*Kühl_und_Kältemittel[[#This Row],[Scope 3 Emissionsfaktor '[kg CO2e/Einheit']]],"")</f>
        <v/>
      </c>
    </row>
    <row r="93" spans="2:19" s="95" customFormat="1" x14ac:dyDescent="0.35">
      <c r="B93" s="407"/>
      <c r="C93" s="10" t="str">
        <f t="shared" si="2"/>
        <v>Kühl_und_Kältemittel</v>
      </c>
      <c r="D93" s="96"/>
      <c r="E93" s="96"/>
      <c r="F93" s="313"/>
      <c r="G93" s="10" t="str">
        <f>IFERROR(VLOOKUP(Kühl_und_Kältemittel[[#This Row],[Thema_Bezeichung]],Emissionsfaktoren!$C$9:$N$201,4,FALSE),"")</f>
        <v/>
      </c>
      <c r="H93" s="96"/>
      <c r="I93" s="96"/>
      <c r="J93" s="96"/>
      <c r="K93" s="309" t="str">
        <f>IF(ISBLANK(Kühl_und_Kältemittel[[#This Row],[Wert 
(Zahl)]]),"", SUM(Kühl_und_Kältemittel[[#This Row],[Scope 1 Ergebnis location-based '[kg CO2e']]:[Scope 3 Ergebnis location-based '[kg CO2e']]]))</f>
        <v/>
      </c>
      <c r="L93" s="166"/>
      <c r="M93" s="15" t="str">
        <f>IF(ISBLANK(Kühl_und_Kältemittel[[#This Row],[Emissionsquelle/Aktivität (Dropdown)]]),"",CONCATENATE(Kühl_und_Kältemittel[[#This Row],[Sektor_Thema]]," - ",Kühl_und_Kältemittel[[#This Row],[Emissionsquelle/Aktivität (Dropdown)]]))</f>
        <v/>
      </c>
      <c r="N93" s="15" t="str">
        <f>IFERROR(VLOOKUP(Kühl_und_Kältemittel[[#This Row],[Thema_Bezeichung]],EFs_Kühlmittel[],5,FALSE),"")</f>
        <v/>
      </c>
      <c r="O93" s="15" t="str">
        <f>IFERROR(VLOOKUP(Kühl_und_Kältemittel[[#This Row],[Thema_Bezeichung]],EFs_Kühlmittel[],6,FALSE),"")</f>
        <v/>
      </c>
      <c r="P93" s="15" t="str">
        <f>IFERROR(VLOOKUP(Kühl_und_Kältemittel[[#This Row],[Thema_Bezeichung]],EFs_Kühlmittel[],7,FALSE),"")</f>
        <v/>
      </c>
      <c r="Q93" s="15" t="str">
        <f>IFERROR(Kühl_und_Kältemittel[[#This Row],[Wert 
(Zahl)]]*Kühl_und_Kältemittel[[#This Row],[Scope 1 Emissionsfaktor '[kg CO2e/Einheit']]],"")</f>
        <v/>
      </c>
      <c r="R93" s="15" t="str">
        <f>IFERROR(Kühl_und_Kältemittel[[#This Row],[Wert 
(Zahl)]]*Kühl_und_Kältemittel[[#This Row],[Scope 2 Emissionsfaktor '[kg CO2e/Einheit']]],"")</f>
        <v/>
      </c>
      <c r="S93" s="15" t="str">
        <f>IFERROR(Kühl_und_Kältemittel[[#This Row],[Wert 
(Zahl)]]*Kühl_und_Kältemittel[[#This Row],[Scope 3 Emissionsfaktor '[kg CO2e/Einheit']]],"")</f>
        <v/>
      </c>
    </row>
    <row r="94" spans="2:19" s="95" customFormat="1" x14ac:dyDescent="0.35">
      <c r="B94" s="407"/>
      <c r="C94" s="10" t="str">
        <f t="shared" si="2"/>
        <v>Kühl_und_Kältemittel</v>
      </c>
      <c r="D94" s="96"/>
      <c r="E94" s="96"/>
      <c r="F94" s="313"/>
      <c r="G94" s="10" t="str">
        <f>IFERROR(VLOOKUP(Kühl_und_Kältemittel[[#This Row],[Thema_Bezeichung]],Emissionsfaktoren!$C$9:$N$201,4,FALSE),"")</f>
        <v/>
      </c>
      <c r="H94" s="96"/>
      <c r="I94" s="96"/>
      <c r="J94" s="96"/>
      <c r="K94" s="309" t="str">
        <f>IF(ISBLANK(Kühl_und_Kältemittel[[#This Row],[Wert 
(Zahl)]]),"", SUM(Kühl_und_Kältemittel[[#This Row],[Scope 1 Ergebnis location-based '[kg CO2e']]:[Scope 3 Ergebnis location-based '[kg CO2e']]]))</f>
        <v/>
      </c>
      <c r="L94" s="166"/>
      <c r="M94" s="15" t="str">
        <f>IF(ISBLANK(Kühl_und_Kältemittel[[#This Row],[Emissionsquelle/Aktivität (Dropdown)]]),"",CONCATENATE(Kühl_und_Kältemittel[[#This Row],[Sektor_Thema]]," - ",Kühl_und_Kältemittel[[#This Row],[Emissionsquelle/Aktivität (Dropdown)]]))</f>
        <v/>
      </c>
      <c r="N94" s="15" t="str">
        <f>IFERROR(VLOOKUP(Kühl_und_Kältemittel[[#This Row],[Thema_Bezeichung]],EFs_Kühlmittel[],5,FALSE),"")</f>
        <v/>
      </c>
      <c r="O94" s="15" t="str">
        <f>IFERROR(VLOOKUP(Kühl_und_Kältemittel[[#This Row],[Thema_Bezeichung]],EFs_Kühlmittel[],6,FALSE),"")</f>
        <v/>
      </c>
      <c r="P94" s="15" t="str">
        <f>IFERROR(VLOOKUP(Kühl_und_Kältemittel[[#This Row],[Thema_Bezeichung]],EFs_Kühlmittel[],7,FALSE),"")</f>
        <v/>
      </c>
      <c r="Q94" s="15" t="str">
        <f>IFERROR(Kühl_und_Kältemittel[[#This Row],[Wert 
(Zahl)]]*Kühl_und_Kältemittel[[#This Row],[Scope 1 Emissionsfaktor '[kg CO2e/Einheit']]],"")</f>
        <v/>
      </c>
      <c r="R94" s="15" t="str">
        <f>IFERROR(Kühl_und_Kältemittel[[#This Row],[Wert 
(Zahl)]]*Kühl_und_Kältemittel[[#This Row],[Scope 2 Emissionsfaktor '[kg CO2e/Einheit']]],"")</f>
        <v/>
      </c>
      <c r="S94" s="15" t="str">
        <f>IFERROR(Kühl_und_Kältemittel[[#This Row],[Wert 
(Zahl)]]*Kühl_und_Kältemittel[[#This Row],[Scope 3 Emissionsfaktor '[kg CO2e/Einheit']]],"")</f>
        <v/>
      </c>
    </row>
    <row r="95" spans="2:19" s="95" customFormat="1" x14ac:dyDescent="0.35">
      <c r="B95" s="407"/>
      <c r="C95" s="10" t="str">
        <f t="shared" si="2"/>
        <v>Kühl_und_Kältemittel</v>
      </c>
      <c r="D95" s="96"/>
      <c r="E95" s="96"/>
      <c r="F95" s="313"/>
      <c r="G95" s="10" t="str">
        <f>IFERROR(VLOOKUP(Kühl_und_Kältemittel[[#This Row],[Thema_Bezeichung]],Emissionsfaktoren!$C$9:$N$201,4,FALSE),"")</f>
        <v/>
      </c>
      <c r="H95" s="96"/>
      <c r="I95" s="96"/>
      <c r="J95" s="96"/>
      <c r="K95" s="309" t="str">
        <f>IF(ISBLANK(Kühl_und_Kältemittel[[#This Row],[Wert 
(Zahl)]]),"", SUM(Kühl_und_Kältemittel[[#This Row],[Scope 1 Ergebnis location-based '[kg CO2e']]:[Scope 3 Ergebnis location-based '[kg CO2e']]]))</f>
        <v/>
      </c>
      <c r="L95" s="166"/>
      <c r="M95" s="15" t="str">
        <f>IF(ISBLANK(Kühl_und_Kältemittel[[#This Row],[Emissionsquelle/Aktivität (Dropdown)]]),"",CONCATENATE(Kühl_und_Kältemittel[[#This Row],[Sektor_Thema]]," - ",Kühl_und_Kältemittel[[#This Row],[Emissionsquelle/Aktivität (Dropdown)]]))</f>
        <v/>
      </c>
      <c r="N95" s="15" t="str">
        <f>IFERROR(VLOOKUP(Kühl_und_Kältemittel[[#This Row],[Thema_Bezeichung]],EFs_Kühlmittel[],5,FALSE),"")</f>
        <v/>
      </c>
      <c r="O95" s="15" t="str">
        <f>IFERROR(VLOOKUP(Kühl_und_Kältemittel[[#This Row],[Thema_Bezeichung]],EFs_Kühlmittel[],6,FALSE),"")</f>
        <v/>
      </c>
      <c r="P95" s="15" t="str">
        <f>IFERROR(VLOOKUP(Kühl_und_Kältemittel[[#This Row],[Thema_Bezeichung]],EFs_Kühlmittel[],7,FALSE),"")</f>
        <v/>
      </c>
      <c r="Q95" s="15" t="str">
        <f>IFERROR(Kühl_und_Kältemittel[[#This Row],[Wert 
(Zahl)]]*Kühl_und_Kältemittel[[#This Row],[Scope 1 Emissionsfaktor '[kg CO2e/Einheit']]],"")</f>
        <v/>
      </c>
      <c r="R95" s="15" t="str">
        <f>IFERROR(Kühl_und_Kältemittel[[#This Row],[Wert 
(Zahl)]]*Kühl_und_Kältemittel[[#This Row],[Scope 2 Emissionsfaktor '[kg CO2e/Einheit']]],"")</f>
        <v/>
      </c>
      <c r="S95" s="15" t="str">
        <f>IFERROR(Kühl_und_Kältemittel[[#This Row],[Wert 
(Zahl)]]*Kühl_und_Kältemittel[[#This Row],[Scope 3 Emissionsfaktor '[kg CO2e/Einheit']]],"")</f>
        <v/>
      </c>
    </row>
    <row r="96" spans="2:19" s="95" customFormat="1" x14ac:dyDescent="0.35">
      <c r="B96" s="407"/>
      <c r="C96" s="10" t="str">
        <f t="shared" si="2"/>
        <v>Kühl_und_Kältemittel</v>
      </c>
      <c r="D96" s="96"/>
      <c r="E96" s="96"/>
      <c r="F96" s="313"/>
      <c r="G96" s="10" t="str">
        <f>IFERROR(VLOOKUP(Kühl_und_Kältemittel[[#This Row],[Thema_Bezeichung]],Emissionsfaktoren!$C$9:$N$201,4,FALSE),"")</f>
        <v/>
      </c>
      <c r="H96" s="96"/>
      <c r="I96" s="96"/>
      <c r="J96" s="96"/>
      <c r="K96" s="309" t="str">
        <f>IF(ISBLANK(Kühl_und_Kältemittel[[#This Row],[Wert 
(Zahl)]]),"", SUM(Kühl_und_Kältemittel[[#This Row],[Scope 1 Ergebnis location-based '[kg CO2e']]:[Scope 3 Ergebnis location-based '[kg CO2e']]]))</f>
        <v/>
      </c>
      <c r="L96" s="166"/>
      <c r="M96" s="15" t="str">
        <f>IF(ISBLANK(Kühl_und_Kältemittel[[#This Row],[Emissionsquelle/Aktivität (Dropdown)]]),"",CONCATENATE(Kühl_und_Kältemittel[[#This Row],[Sektor_Thema]]," - ",Kühl_und_Kältemittel[[#This Row],[Emissionsquelle/Aktivität (Dropdown)]]))</f>
        <v/>
      </c>
      <c r="N96" s="15" t="str">
        <f>IFERROR(VLOOKUP(Kühl_und_Kältemittel[[#This Row],[Thema_Bezeichung]],EFs_Kühlmittel[],5,FALSE),"")</f>
        <v/>
      </c>
      <c r="O96" s="15" t="str">
        <f>IFERROR(VLOOKUP(Kühl_und_Kältemittel[[#This Row],[Thema_Bezeichung]],EFs_Kühlmittel[],6,FALSE),"")</f>
        <v/>
      </c>
      <c r="P96" s="15" t="str">
        <f>IFERROR(VLOOKUP(Kühl_und_Kältemittel[[#This Row],[Thema_Bezeichung]],EFs_Kühlmittel[],7,FALSE),"")</f>
        <v/>
      </c>
      <c r="Q96" s="15" t="str">
        <f>IFERROR(Kühl_und_Kältemittel[[#This Row],[Wert 
(Zahl)]]*Kühl_und_Kältemittel[[#This Row],[Scope 1 Emissionsfaktor '[kg CO2e/Einheit']]],"")</f>
        <v/>
      </c>
      <c r="R96" s="15" t="str">
        <f>IFERROR(Kühl_und_Kältemittel[[#This Row],[Wert 
(Zahl)]]*Kühl_und_Kältemittel[[#This Row],[Scope 2 Emissionsfaktor '[kg CO2e/Einheit']]],"")</f>
        <v/>
      </c>
      <c r="S96" s="15" t="str">
        <f>IFERROR(Kühl_und_Kältemittel[[#This Row],[Wert 
(Zahl)]]*Kühl_und_Kältemittel[[#This Row],[Scope 3 Emissionsfaktor '[kg CO2e/Einheit']]],"")</f>
        <v/>
      </c>
    </row>
    <row r="97" spans="2:19" s="95" customFormat="1" x14ac:dyDescent="0.35">
      <c r="B97" s="407"/>
      <c r="C97" s="10" t="str">
        <f t="shared" si="2"/>
        <v>Kühl_und_Kältemittel</v>
      </c>
      <c r="D97" s="96"/>
      <c r="E97" s="96"/>
      <c r="F97" s="313"/>
      <c r="G97" s="10" t="str">
        <f>IFERROR(VLOOKUP(Kühl_und_Kältemittel[[#This Row],[Thema_Bezeichung]],Emissionsfaktoren!$C$9:$N$201,4,FALSE),"")</f>
        <v/>
      </c>
      <c r="H97" s="96"/>
      <c r="I97" s="96"/>
      <c r="J97" s="96"/>
      <c r="K97" s="309" t="str">
        <f>IF(ISBLANK(Kühl_und_Kältemittel[[#This Row],[Wert 
(Zahl)]]),"", SUM(Kühl_und_Kältemittel[[#This Row],[Scope 1 Ergebnis location-based '[kg CO2e']]:[Scope 3 Ergebnis location-based '[kg CO2e']]]))</f>
        <v/>
      </c>
      <c r="L97" s="166"/>
      <c r="M97" s="15" t="str">
        <f>IF(ISBLANK(Kühl_und_Kältemittel[[#This Row],[Emissionsquelle/Aktivität (Dropdown)]]),"",CONCATENATE(Kühl_und_Kältemittel[[#This Row],[Sektor_Thema]]," - ",Kühl_und_Kältemittel[[#This Row],[Emissionsquelle/Aktivität (Dropdown)]]))</f>
        <v/>
      </c>
      <c r="N97" s="15" t="str">
        <f>IFERROR(VLOOKUP(Kühl_und_Kältemittel[[#This Row],[Thema_Bezeichung]],EFs_Kühlmittel[],5,FALSE),"")</f>
        <v/>
      </c>
      <c r="O97" s="15" t="str">
        <f>IFERROR(VLOOKUP(Kühl_und_Kältemittel[[#This Row],[Thema_Bezeichung]],EFs_Kühlmittel[],6,FALSE),"")</f>
        <v/>
      </c>
      <c r="P97" s="15" t="str">
        <f>IFERROR(VLOOKUP(Kühl_und_Kältemittel[[#This Row],[Thema_Bezeichung]],EFs_Kühlmittel[],7,FALSE),"")</f>
        <v/>
      </c>
      <c r="Q97" s="15" t="str">
        <f>IFERROR(Kühl_und_Kältemittel[[#This Row],[Wert 
(Zahl)]]*Kühl_und_Kältemittel[[#This Row],[Scope 1 Emissionsfaktor '[kg CO2e/Einheit']]],"")</f>
        <v/>
      </c>
      <c r="R97" s="15" t="str">
        <f>IFERROR(Kühl_und_Kältemittel[[#This Row],[Wert 
(Zahl)]]*Kühl_und_Kältemittel[[#This Row],[Scope 2 Emissionsfaktor '[kg CO2e/Einheit']]],"")</f>
        <v/>
      </c>
      <c r="S97" s="15" t="str">
        <f>IFERROR(Kühl_und_Kältemittel[[#This Row],[Wert 
(Zahl)]]*Kühl_und_Kältemittel[[#This Row],[Scope 3 Emissionsfaktor '[kg CO2e/Einheit']]],"")</f>
        <v/>
      </c>
    </row>
    <row r="98" spans="2:19" s="95" customFormat="1" x14ac:dyDescent="0.35">
      <c r="B98" s="407"/>
      <c r="C98" s="10" t="str">
        <f t="shared" si="2"/>
        <v>Kühl_und_Kältemittel</v>
      </c>
      <c r="D98" s="96"/>
      <c r="E98" s="96"/>
      <c r="F98" s="313"/>
      <c r="G98" s="10" t="str">
        <f>IFERROR(VLOOKUP(Kühl_und_Kältemittel[[#This Row],[Thema_Bezeichung]],Emissionsfaktoren!$C$9:$N$201,4,FALSE),"")</f>
        <v/>
      </c>
      <c r="H98" s="96"/>
      <c r="I98" s="96"/>
      <c r="J98" s="96"/>
      <c r="K98" s="309" t="str">
        <f>IF(ISBLANK(Kühl_und_Kältemittel[[#This Row],[Wert 
(Zahl)]]),"", SUM(Kühl_und_Kältemittel[[#This Row],[Scope 1 Ergebnis location-based '[kg CO2e']]:[Scope 3 Ergebnis location-based '[kg CO2e']]]))</f>
        <v/>
      </c>
      <c r="L98" s="166"/>
      <c r="M98" s="15" t="str">
        <f>IF(ISBLANK(Kühl_und_Kältemittel[[#This Row],[Emissionsquelle/Aktivität (Dropdown)]]),"",CONCATENATE(Kühl_und_Kältemittel[[#This Row],[Sektor_Thema]]," - ",Kühl_und_Kältemittel[[#This Row],[Emissionsquelle/Aktivität (Dropdown)]]))</f>
        <v/>
      </c>
      <c r="N98" s="15" t="str">
        <f>IFERROR(VLOOKUP(Kühl_und_Kältemittel[[#This Row],[Thema_Bezeichung]],EFs_Kühlmittel[],5,FALSE),"")</f>
        <v/>
      </c>
      <c r="O98" s="15" t="str">
        <f>IFERROR(VLOOKUP(Kühl_und_Kältemittel[[#This Row],[Thema_Bezeichung]],EFs_Kühlmittel[],6,FALSE),"")</f>
        <v/>
      </c>
      <c r="P98" s="15" t="str">
        <f>IFERROR(VLOOKUP(Kühl_und_Kältemittel[[#This Row],[Thema_Bezeichung]],EFs_Kühlmittel[],7,FALSE),"")</f>
        <v/>
      </c>
      <c r="Q98" s="15" t="str">
        <f>IFERROR(Kühl_und_Kältemittel[[#This Row],[Wert 
(Zahl)]]*Kühl_und_Kältemittel[[#This Row],[Scope 1 Emissionsfaktor '[kg CO2e/Einheit']]],"")</f>
        <v/>
      </c>
      <c r="R98" s="15" t="str">
        <f>IFERROR(Kühl_und_Kältemittel[[#This Row],[Wert 
(Zahl)]]*Kühl_und_Kältemittel[[#This Row],[Scope 2 Emissionsfaktor '[kg CO2e/Einheit']]],"")</f>
        <v/>
      </c>
      <c r="S98" s="15" t="str">
        <f>IFERROR(Kühl_und_Kältemittel[[#This Row],[Wert 
(Zahl)]]*Kühl_und_Kältemittel[[#This Row],[Scope 3 Emissionsfaktor '[kg CO2e/Einheit']]],"")</f>
        <v/>
      </c>
    </row>
    <row r="99" spans="2:19" s="95" customFormat="1" x14ac:dyDescent="0.35">
      <c r="B99" s="407"/>
      <c r="C99" s="10" t="str">
        <f t="shared" si="2"/>
        <v>Kühl_und_Kältemittel</v>
      </c>
      <c r="D99" s="96"/>
      <c r="E99" s="96"/>
      <c r="F99" s="313"/>
      <c r="G99" s="10" t="str">
        <f>IFERROR(VLOOKUP(Kühl_und_Kältemittel[[#This Row],[Thema_Bezeichung]],Emissionsfaktoren!$C$9:$N$201,4,FALSE),"")</f>
        <v/>
      </c>
      <c r="H99" s="96"/>
      <c r="I99" s="96"/>
      <c r="J99" s="96"/>
      <c r="K99" s="309" t="str">
        <f>IF(ISBLANK(Kühl_und_Kältemittel[[#This Row],[Wert 
(Zahl)]]),"", SUM(Kühl_und_Kältemittel[[#This Row],[Scope 1 Ergebnis location-based '[kg CO2e']]:[Scope 3 Ergebnis location-based '[kg CO2e']]]))</f>
        <v/>
      </c>
      <c r="L99" s="166"/>
      <c r="M99" s="15" t="str">
        <f>IF(ISBLANK(Kühl_und_Kältemittel[[#This Row],[Emissionsquelle/Aktivität (Dropdown)]]),"",CONCATENATE(Kühl_und_Kältemittel[[#This Row],[Sektor_Thema]]," - ",Kühl_und_Kältemittel[[#This Row],[Emissionsquelle/Aktivität (Dropdown)]]))</f>
        <v/>
      </c>
      <c r="N99" s="15" t="str">
        <f>IFERROR(VLOOKUP(Kühl_und_Kältemittel[[#This Row],[Thema_Bezeichung]],EFs_Kühlmittel[],5,FALSE),"")</f>
        <v/>
      </c>
      <c r="O99" s="15" t="str">
        <f>IFERROR(VLOOKUP(Kühl_und_Kältemittel[[#This Row],[Thema_Bezeichung]],EFs_Kühlmittel[],6,FALSE),"")</f>
        <v/>
      </c>
      <c r="P99" s="15" t="str">
        <f>IFERROR(VLOOKUP(Kühl_und_Kältemittel[[#This Row],[Thema_Bezeichung]],EFs_Kühlmittel[],7,FALSE),"")</f>
        <v/>
      </c>
      <c r="Q99" s="15" t="str">
        <f>IFERROR(Kühl_und_Kältemittel[[#This Row],[Wert 
(Zahl)]]*Kühl_und_Kältemittel[[#This Row],[Scope 1 Emissionsfaktor '[kg CO2e/Einheit']]],"")</f>
        <v/>
      </c>
      <c r="R99" s="15" t="str">
        <f>IFERROR(Kühl_und_Kältemittel[[#This Row],[Wert 
(Zahl)]]*Kühl_und_Kältemittel[[#This Row],[Scope 2 Emissionsfaktor '[kg CO2e/Einheit']]],"")</f>
        <v/>
      </c>
      <c r="S99" s="15" t="str">
        <f>IFERROR(Kühl_und_Kältemittel[[#This Row],[Wert 
(Zahl)]]*Kühl_und_Kältemittel[[#This Row],[Scope 3 Emissionsfaktor '[kg CO2e/Einheit']]],"")</f>
        <v/>
      </c>
    </row>
    <row r="100" spans="2:19" s="95" customFormat="1" x14ac:dyDescent="0.35">
      <c r="B100" s="407"/>
      <c r="C100" s="10" t="str">
        <f t="shared" si="2"/>
        <v>Kühl_und_Kältemittel</v>
      </c>
      <c r="D100" s="96"/>
      <c r="E100" s="96"/>
      <c r="F100" s="313"/>
      <c r="G100" s="10" t="str">
        <f>IFERROR(VLOOKUP(Kühl_und_Kältemittel[[#This Row],[Thema_Bezeichung]],Emissionsfaktoren!$C$9:$N$201,4,FALSE),"")</f>
        <v/>
      </c>
      <c r="H100" s="96"/>
      <c r="I100" s="96"/>
      <c r="J100" s="96"/>
      <c r="K100" s="309" t="str">
        <f>IF(ISBLANK(Kühl_und_Kältemittel[[#This Row],[Wert 
(Zahl)]]),"", SUM(Kühl_und_Kältemittel[[#This Row],[Scope 1 Ergebnis location-based '[kg CO2e']]:[Scope 3 Ergebnis location-based '[kg CO2e']]]))</f>
        <v/>
      </c>
      <c r="L100" s="166"/>
      <c r="M100" s="15" t="str">
        <f>IF(ISBLANK(Kühl_und_Kältemittel[[#This Row],[Emissionsquelle/Aktivität (Dropdown)]]),"",CONCATENATE(Kühl_und_Kältemittel[[#This Row],[Sektor_Thema]]," - ",Kühl_und_Kältemittel[[#This Row],[Emissionsquelle/Aktivität (Dropdown)]]))</f>
        <v/>
      </c>
      <c r="N100" s="15" t="str">
        <f>IFERROR(VLOOKUP(Kühl_und_Kältemittel[[#This Row],[Thema_Bezeichung]],EFs_Kühlmittel[],5,FALSE),"")</f>
        <v/>
      </c>
      <c r="O100" s="15" t="str">
        <f>IFERROR(VLOOKUP(Kühl_und_Kältemittel[[#This Row],[Thema_Bezeichung]],EFs_Kühlmittel[],6,FALSE),"")</f>
        <v/>
      </c>
      <c r="P100" s="15" t="str">
        <f>IFERROR(VLOOKUP(Kühl_und_Kältemittel[[#This Row],[Thema_Bezeichung]],EFs_Kühlmittel[],7,FALSE),"")</f>
        <v/>
      </c>
      <c r="Q100" s="15" t="str">
        <f>IFERROR(Kühl_und_Kältemittel[[#This Row],[Wert 
(Zahl)]]*Kühl_und_Kältemittel[[#This Row],[Scope 1 Emissionsfaktor '[kg CO2e/Einheit']]],"")</f>
        <v/>
      </c>
      <c r="R100" s="15" t="str">
        <f>IFERROR(Kühl_und_Kältemittel[[#This Row],[Wert 
(Zahl)]]*Kühl_und_Kältemittel[[#This Row],[Scope 2 Emissionsfaktor '[kg CO2e/Einheit']]],"")</f>
        <v/>
      </c>
      <c r="S100" s="15" t="str">
        <f>IFERROR(Kühl_und_Kältemittel[[#This Row],[Wert 
(Zahl)]]*Kühl_und_Kältemittel[[#This Row],[Scope 3 Emissionsfaktor '[kg CO2e/Einheit']]],"")</f>
        <v/>
      </c>
    </row>
    <row r="101" spans="2:19" s="95" customFormat="1" x14ac:dyDescent="0.35">
      <c r="B101" s="407"/>
      <c r="C101" s="96" t="str">
        <f t="shared" si="2"/>
        <v>Kühl_und_Kältemittel</v>
      </c>
      <c r="D101" s="96"/>
      <c r="E101" s="96"/>
      <c r="F101" s="313"/>
      <c r="G101" s="96" t="str">
        <f>IFERROR(VLOOKUP(Kühl_und_Kältemittel[[#This Row],[Thema_Bezeichung]],Emissionsfaktoren!$C$9:$N$201,4,FALSE),"")</f>
        <v/>
      </c>
      <c r="H101" s="96"/>
      <c r="I101" s="96"/>
      <c r="J101" s="96"/>
      <c r="K101" s="310" t="str">
        <f>IF(ISBLANK(Kühl_und_Kältemittel[[#This Row],[Wert 
(Zahl)]]),"", SUM(Kühl_und_Kältemittel[[#This Row],[Scope 1 Ergebnis location-based '[kg CO2e']]:[Scope 3 Ergebnis location-based '[kg CO2e']]]))</f>
        <v/>
      </c>
      <c r="L101" s="167"/>
      <c r="M101" s="100" t="str">
        <f>IF(ISBLANK(Kühl_und_Kältemittel[[#This Row],[Emissionsquelle/Aktivität (Dropdown)]]),"",CONCATENATE(Kühl_und_Kältemittel[[#This Row],[Sektor_Thema]]," - ",Kühl_und_Kältemittel[[#This Row],[Emissionsquelle/Aktivität (Dropdown)]]))</f>
        <v/>
      </c>
      <c r="N101" s="100" t="str">
        <f>IFERROR(VLOOKUP(Kühl_und_Kältemittel[[#This Row],[Thema_Bezeichung]],EFs_Kühlmittel[],5,FALSE),"")</f>
        <v/>
      </c>
      <c r="O101" s="100" t="str">
        <f>IFERROR(VLOOKUP(Kühl_und_Kältemittel[[#This Row],[Thema_Bezeichung]],EFs_Kühlmittel[],6,FALSE),"")</f>
        <v/>
      </c>
      <c r="P101" s="100" t="str">
        <f>IFERROR(VLOOKUP(Kühl_und_Kältemittel[[#This Row],[Thema_Bezeichung]],EFs_Kühlmittel[],7,FALSE),"")</f>
        <v/>
      </c>
      <c r="Q101" s="100" t="str">
        <f>IFERROR(Kühl_und_Kältemittel[[#This Row],[Wert 
(Zahl)]]*Kühl_und_Kältemittel[[#This Row],[Scope 1 Emissionsfaktor '[kg CO2e/Einheit']]],"")</f>
        <v/>
      </c>
      <c r="R101" s="100" t="str">
        <f>IFERROR(Kühl_und_Kältemittel[[#This Row],[Wert 
(Zahl)]]*Kühl_und_Kältemittel[[#This Row],[Scope 2 Emissionsfaktor '[kg CO2e/Einheit']]],"")</f>
        <v/>
      </c>
      <c r="S101" s="100" t="str">
        <f>IFERROR(Kühl_und_Kältemittel[[#This Row],[Wert 
(Zahl)]]*Kühl_und_Kältemittel[[#This Row],[Scope 3 Emissionsfaktor '[kg CO2e/Einheit']]],"")</f>
        <v/>
      </c>
    </row>
    <row r="102" spans="2:19" s="95" customFormat="1" ht="15" thickBot="1" x14ac:dyDescent="0.4">
      <c r="B102" s="408"/>
      <c r="C102" s="96" t="str">
        <f t="shared" si="2"/>
        <v>Kühl_und_Kältemittel</v>
      </c>
      <c r="D102" s="96"/>
      <c r="E102" s="96"/>
      <c r="F102" s="313"/>
      <c r="G102" s="96" t="str">
        <f>IFERROR(VLOOKUP(Kühl_und_Kältemittel[[#This Row],[Thema_Bezeichung]],Emissionsfaktoren!$C$9:$N$201,4,FALSE),"")</f>
        <v/>
      </c>
      <c r="H102" s="96"/>
      <c r="I102" s="96"/>
      <c r="J102" s="96"/>
      <c r="K102" s="310" t="str">
        <f>IF(ISBLANK(Kühl_und_Kältemittel[[#This Row],[Wert 
(Zahl)]]),"", SUM(Kühl_und_Kältemittel[[#This Row],[Scope 1 Ergebnis location-based '[kg CO2e']]:[Scope 3 Ergebnis location-based '[kg CO2e']]]))</f>
        <v/>
      </c>
      <c r="L102" s="167"/>
      <c r="M102" s="100" t="str">
        <f>IF(ISBLANK(Kühl_und_Kältemittel[[#This Row],[Emissionsquelle/Aktivität (Dropdown)]]),"",CONCATENATE(Kühl_und_Kältemittel[[#This Row],[Sektor_Thema]]," - ",Kühl_und_Kältemittel[[#This Row],[Emissionsquelle/Aktivität (Dropdown)]]))</f>
        <v/>
      </c>
      <c r="N102" s="100" t="str">
        <f>IFERROR(VLOOKUP(Kühl_und_Kältemittel[[#This Row],[Thema_Bezeichung]],EFs_Kühlmittel[],5,FALSE),"")</f>
        <v/>
      </c>
      <c r="O102" s="100" t="str">
        <f>IFERROR(VLOOKUP(Kühl_und_Kältemittel[[#This Row],[Thema_Bezeichung]],EFs_Kühlmittel[],6,FALSE),"")</f>
        <v/>
      </c>
      <c r="P102" s="100" t="str">
        <f>IFERROR(VLOOKUP(Kühl_und_Kältemittel[[#This Row],[Thema_Bezeichung]],EFs_Kühlmittel[],7,FALSE),"")</f>
        <v/>
      </c>
      <c r="Q102" s="100" t="str">
        <f>IFERROR(Kühl_und_Kältemittel[[#This Row],[Wert 
(Zahl)]]*Kühl_und_Kältemittel[[#This Row],[Scope 1 Emissionsfaktor '[kg CO2e/Einheit']]],"")</f>
        <v/>
      </c>
      <c r="R102" s="100" t="str">
        <f>IFERROR(Kühl_und_Kältemittel[[#This Row],[Wert 
(Zahl)]]*Kühl_und_Kältemittel[[#This Row],[Scope 2 Emissionsfaktor '[kg CO2e/Einheit']]],"")</f>
        <v/>
      </c>
      <c r="S102" s="100" t="str">
        <f>IFERROR(Kühl_und_Kältemittel[[#This Row],[Wert 
(Zahl)]]*Kühl_und_Kältemittel[[#This Row],[Scope 3 Emissionsfaktor '[kg CO2e/Einheit']]],"")</f>
        <v/>
      </c>
    </row>
    <row r="103" spans="2:19" s="2" customFormat="1" ht="15" thickTop="1" x14ac:dyDescent="0.35">
      <c r="B103" s="13"/>
      <c r="D103" s="117" t="s">
        <v>226</v>
      </c>
      <c r="E103" s="117"/>
      <c r="F103" s="117"/>
      <c r="G103" s="117"/>
      <c r="H103" s="117"/>
      <c r="I103" s="117"/>
      <c r="J103" s="117"/>
      <c r="K103" s="311">
        <f>SUBTOTAL(109,Kühl_und_Kältemittel[Ergebnis '[kg CO2e'] (vorausgefüllt)])</f>
        <v>0</v>
      </c>
      <c r="L103" s="168"/>
      <c r="Q103" s="2">
        <f>SUBTOTAL(109,Kühl_und_Kältemittel[Scope 1 Ergebnis location-based '[kg CO2e']])</f>
        <v>0</v>
      </c>
      <c r="R103" s="2">
        <f>SUBTOTAL(109,Kühl_und_Kältemittel[Scope 2 Ergebnis location-based '[kg CO2e']])</f>
        <v>0</v>
      </c>
      <c r="S103" s="2">
        <f>SUBTOTAL(109,Kühl_und_Kältemittel[Scope 3 Ergebnis location-based '[kg CO2e']])</f>
        <v>0</v>
      </c>
    </row>
    <row r="104" spans="2:19" ht="120" customHeight="1" x14ac:dyDescent="0.35">
      <c r="B104" s="197" t="s">
        <v>85</v>
      </c>
      <c r="C104" s="11"/>
      <c r="D104" s="86"/>
      <c r="L104" s="169"/>
    </row>
    <row r="105" spans="2:19" x14ac:dyDescent="0.35">
      <c r="B105" s="135" t="s">
        <v>86</v>
      </c>
      <c r="L105" s="169"/>
    </row>
    <row r="106" spans="2:19" ht="18.5" x14ac:dyDescent="0.45">
      <c r="B106" s="134" t="s">
        <v>15</v>
      </c>
      <c r="E106" s="12"/>
      <c r="L106" s="169"/>
    </row>
    <row r="107" spans="2:19" ht="63" customHeight="1" x14ac:dyDescent="0.35">
      <c r="B107" s="298" t="s">
        <v>93</v>
      </c>
      <c r="C107" s="299"/>
      <c r="D107" s="404" t="s">
        <v>399</v>
      </c>
      <c r="E107" s="404"/>
      <c r="F107" s="404"/>
      <c r="G107" s="404"/>
      <c r="H107" s="404"/>
      <c r="I107" s="405"/>
      <c r="L107" s="169"/>
    </row>
    <row r="108" spans="2:19" x14ac:dyDescent="0.35">
      <c r="C108" t="s">
        <v>15</v>
      </c>
      <c r="L108" s="169"/>
    </row>
    <row r="109" spans="2:19" ht="44" thickBot="1" x14ac:dyDescent="0.4">
      <c r="B109" s="10"/>
      <c r="C109" s="27" t="s">
        <v>51</v>
      </c>
      <c r="D109" s="27" t="s">
        <v>214</v>
      </c>
      <c r="E109" s="27" t="s">
        <v>71</v>
      </c>
      <c r="F109" s="27" t="s">
        <v>72</v>
      </c>
      <c r="G109" s="103" t="s">
        <v>84</v>
      </c>
      <c r="H109" s="27" t="s">
        <v>135</v>
      </c>
      <c r="I109" s="103" t="s">
        <v>80</v>
      </c>
      <c r="J109" s="103" t="s">
        <v>81</v>
      </c>
      <c r="K109" s="164" t="s">
        <v>243</v>
      </c>
      <c r="L109" s="171" t="s">
        <v>133</v>
      </c>
      <c r="M109" s="103" t="s">
        <v>241</v>
      </c>
      <c r="N109" s="103" t="s">
        <v>87</v>
      </c>
      <c r="O109" s="103" t="s">
        <v>89</v>
      </c>
      <c r="P109" s="103" t="s">
        <v>88</v>
      </c>
      <c r="Q109" s="103" t="s">
        <v>92</v>
      </c>
      <c r="R109" s="103" t="s">
        <v>91</v>
      </c>
      <c r="S109" s="103" t="s">
        <v>90</v>
      </c>
    </row>
    <row r="110" spans="2:19" s="95" customFormat="1" ht="15" thickTop="1" x14ac:dyDescent="0.35">
      <c r="B110" s="406" t="s">
        <v>15</v>
      </c>
      <c r="C110" s="10" t="str">
        <f t="shared" ref="C110:C129" si="3">$C$108</f>
        <v>Fuhrpark</v>
      </c>
      <c r="D110" s="96"/>
      <c r="E110" s="96"/>
      <c r="F110" s="313"/>
      <c r="G110" s="10" t="str">
        <f>IFERROR(VLOOKUP(Fuhrpark[[#This Row],[Thema_Bezeichung]],Emissionsfaktoren!$C$9:$N$201,4,FALSE),"")</f>
        <v/>
      </c>
      <c r="H110" s="96"/>
      <c r="I110" s="96"/>
      <c r="J110" s="96"/>
      <c r="K110" s="314" t="str">
        <f>IF(ISBLANK(Fuhrpark[[#This Row],[Wert 
(Zahl)]]),"", SUM(Fuhrpark[[#This Row],[Scope 1 Ergebnis location-based '[kg CO2e']]:[Scope 3 Ergebnis location-based '[kg CO2e']]]))</f>
        <v/>
      </c>
      <c r="L110" s="166"/>
      <c r="M110" s="15" t="str">
        <f>IF(ISBLANK(Fuhrpark[[#This Row],[Emissionsquelle/Aktivität (Dropdown)]]),"",CONCATENATE(Fuhrpark[[#This Row],[Sektor_Thema]]," - ",Fuhrpark[[#This Row],[Emissionsquelle/Aktivität (Dropdown)]]))</f>
        <v/>
      </c>
      <c r="N110" s="15" t="str">
        <f>IFERROR(VLOOKUP(Fuhrpark[[#This Row],[Thema_Bezeichung]],EFs_Fuhrpark[],5,FALSE),"")</f>
        <v/>
      </c>
      <c r="O110" s="15" t="str">
        <f>IFERROR(VLOOKUP(Fuhrpark[[#This Row],[Thema_Bezeichung]],EFs_Fuhrpark[],6,FALSE),"")</f>
        <v/>
      </c>
      <c r="P110" s="15" t="str">
        <f>IFERROR(VLOOKUP(Fuhrpark[[#This Row],[Thema_Bezeichung]],EFs_Fuhrpark[],7,FALSE),"")</f>
        <v/>
      </c>
      <c r="Q110" s="15" t="str">
        <f>IFERROR(Fuhrpark[[#This Row],[Wert 
(Zahl)]]*Fuhrpark[[#This Row],[Scope 1 Emissionsfaktor '[kg CO2e/Einheit']]],"")</f>
        <v/>
      </c>
      <c r="R110" s="15" t="str">
        <f>IFERROR(Fuhrpark[[#This Row],[Wert 
(Zahl)]]*Fuhrpark[[#This Row],[Scope 2 Emissionsfaktor '[kg CO2e/Einheit']]],"")</f>
        <v/>
      </c>
      <c r="S110" s="15" t="str">
        <f>IFERROR(Fuhrpark[[#This Row],[Wert 
(Zahl)]]*Fuhrpark[[#This Row],[Scope 3 Emissionsfaktor '[kg CO2e/Einheit']]],"")</f>
        <v/>
      </c>
    </row>
    <row r="111" spans="2:19" s="95" customFormat="1" x14ac:dyDescent="0.35">
      <c r="B111" s="407"/>
      <c r="C111" s="10" t="str">
        <f t="shared" si="3"/>
        <v>Fuhrpark</v>
      </c>
      <c r="D111" s="96"/>
      <c r="E111" s="96"/>
      <c r="F111" s="313"/>
      <c r="G111" s="10" t="str">
        <f>IFERROR(VLOOKUP(Fuhrpark[[#This Row],[Thema_Bezeichung]],Emissionsfaktoren!$C$9:$N$201,4,FALSE),"")</f>
        <v/>
      </c>
      <c r="H111" s="96"/>
      <c r="I111" s="96"/>
      <c r="J111" s="96"/>
      <c r="K111" s="314" t="str">
        <f>IF(ISBLANK(Fuhrpark[[#This Row],[Wert 
(Zahl)]]),"", SUM(Fuhrpark[[#This Row],[Scope 1 Ergebnis location-based '[kg CO2e']]:[Scope 3 Ergebnis location-based '[kg CO2e']]]))</f>
        <v/>
      </c>
      <c r="L111" s="166"/>
      <c r="M111" s="15" t="str">
        <f>IF(ISBLANK(Fuhrpark[[#This Row],[Emissionsquelle/Aktivität (Dropdown)]]),"",CONCATENATE(Fuhrpark[[#This Row],[Sektor_Thema]]," - ",Fuhrpark[[#This Row],[Emissionsquelle/Aktivität (Dropdown)]]))</f>
        <v/>
      </c>
      <c r="N111" s="15" t="str">
        <f>IFERROR(VLOOKUP(Fuhrpark[[#This Row],[Thema_Bezeichung]],EFs_Fuhrpark[],5,FALSE),"")</f>
        <v/>
      </c>
      <c r="O111" s="15" t="str">
        <f>IFERROR(VLOOKUP(Fuhrpark[[#This Row],[Thema_Bezeichung]],EFs_Fuhrpark[],6,FALSE),"")</f>
        <v/>
      </c>
      <c r="P111" s="15" t="str">
        <f>IFERROR(VLOOKUP(Fuhrpark[[#This Row],[Thema_Bezeichung]],EFs_Fuhrpark[],7,FALSE),"")</f>
        <v/>
      </c>
      <c r="Q111" s="15" t="str">
        <f>IFERROR(Fuhrpark[[#This Row],[Wert 
(Zahl)]]*Fuhrpark[[#This Row],[Scope 1 Emissionsfaktor '[kg CO2e/Einheit']]],"")</f>
        <v/>
      </c>
      <c r="R111" s="15" t="str">
        <f>IFERROR(Fuhrpark[[#This Row],[Wert 
(Zahl)]]*Fuhrpark[[#This Row],[Scope 2 Emissionsfaktor '[kg CO2e/Einheit']]],"")</f>
        <v/>
      </c>
      <c r="S111" s="15" t="str">
        <f>IFERROR(Fuhrpark[[#This Row],[Wert 
(Zahl)]]*Fuhrpark[[#This Row],[Scope 3 Emissionsfaktor '[kg CO2e/Einheit']]],"")</f>
        <v/>
      </c>
    </row>
    <row r="112" spans="2:19" s="95" customFormat="1" x14ac:dyDescent="0.35">
      <c r="B112" s="407"/>
      <c r="C112" s="10" t="str">
        <f t="shared" si="3"/>
        <v>Fuhrpark</v>
      </c>
      <c r="D112" s="96"/>
      <c r="E112" s="96"/>
      <c r="F112" s="313"/>
      <c r="G112" s="10" t="str">
        <f>IFERROR(VLOOKUP(Fuhrpark[[#This Row],[Thema_Bezeichung]],Emissionsfaktoren!$C$9:$N$201,4,FALSE),"")</f>
        <v/>
      </c>
      <c r="H112" s="96"/>
      <c r="I112" s="96"/>
      <c r="J112" s="96"/>
      <c r="K112" s="314" t="str">
        <f>IF(ISBLANK(Fuhrpark[[#This Row],[Wert 
(Zahl)]]),"", SUM(Fuhrpark[[#This Row],[Scope 1 Ergebnis location-based '[kg CO2e']]:[Scope 3 Ergebnis location-based '[kg CO2e']]]))</f>
        <v/>
      </c>
      <c r="L112" s="166"/>
      <c r="M112" s="15" t="str">
        <f>IF(ISBLANK(Fuhrpark[[#This Row],[Emissionsquelle/Aktivität (Dropdown)]]),"",CONCATENATE(Fuhrpark[[#This Row],[Sektor_Thema]]," - ",Fuhrpark[[#This Row],[Emissionsquelle/Aktivität (Dropdown)]]))</f>
        <v/>
      </c>
      <c r="N112" s="15" t="str">
        <f>IFERROR(VLOOKUP(Fuhrpark[[#This Row],[Thema_Bezeichung]],EFs_Fuhrpark[],5,FALSE),"")</f>
        <v/>
      </c>
      <c r="O112" s="15" t="str">
        <f>IFERROR(VLOOKUP(Fuhrpark[[#This Row],[Thema_Bezeichung]],EFs_Fuhrpark[],6,FALSE),"")</f>
        <v/>
      </c>
      <c r="P112" s="15" t="str">
        <f>IFERROR(VLOOKUP(Fuhrpark[[#This Row],[Thema_Bezeichung]],EFs_Fuhrpark[],7,FALSE),"")</f>
        <v/>
      </c>
      <c r="Q112" s="15" t="str">
        <f>IFERROR(Fuhrpark[[#This Row],[Wert 
(Zahl)]]*Fuhrpark[[#This Row],[Scope 1 Emissionsfaktor '[kg CO2e/Einheit']]],"")</f>
        <v/>
      </c>
      <c r="R112" s="15" t="str">
        <f>IFERROR(Fuhrpark[[#This Row],[Wert 
(Zahl)]]*Fuhrpark[[#This Row],[Scope 2 Emissionsfaktor '[kg CO2e/Einheit']]],"")</f>
        <v/>
      </c>
      <c r="S112" s="15" t="str">
        <f>IFERROR(Fuhrpark[[#This Row],[Wert 
(Zahl)]]*Fuhrpark[[#This Row],[Scope 3 Emissionsfaktor '[kg CO2e/Einheit']]],"")</f>
        <v/>
      </c>
    </row>
    <row r="113" spans="2:19" s="95" customFormat="1" x14ac:dyDescent="0.35">
      <c r="B113" s="407"/>
      <c r="C113" s="10" t="str">
        <f t="shared" si="3"/>
        <v>Fuhrpark</v>
      </c>
      <c r="D113" s="96"/>
      <c r="E113" s="96"/>
      <c r="F113" s="313"/>
      <c r="G113" s="10" t="str">
        <f>IFERROR(VLOOKUP(Fuhrpark[[#This Row],[Thema_Bezeichung]],Emissionsfaktoren!$C$9:$N$201,4,FALSE),"")</f>
        <v/>
      </c>
      <c r="H113" s="96"/>
      <c r="I113" s="96"/>
      <c r="J113" s="96"/>
      <c r="K113" s="314" t="str">
        <f>IF(ISBLANK(Fuhrpark[[#This Row],[Wert 
(Zahl)]]),"", SUM(Fuhrpark[[#This Row],[Scope 1 Ergebnis location-based '[kg CO2e']]:[Scope 3 Ergebnis location-based '[kg CO2e']]]))</f>
        <v/>
      </c>
      <c r="L113" s="166"/>
      <c r="M113" s="15" t="str">
        <f>IF(ISBLANK(Fuhrpark[[#This Row],[Emissionsquelle/Aktivität (Dropdown)]]),"",CONCATENATE(Fuhrpark[[#This Row],[Sektor_Thema]]," - ",Fuhrpark[[#This Row],[Emissionsquelle/Aktivität (Dropdown)]]))</f>
        <v/>
      </c>
      <c r="N113" s="15" t="str">
        <f>IFERROR(VLOOKUP(Fuhrpark[[#This Row],[Thema_Bezeichung]],EFs_Fuhrpark[],5,FALSE),"")</f>
        <v/>
      </c>
      <c r="O113" s="15" t="str">
        <f>IFERROR(VLOOKUP(Fuhrpark[[#This Row],[Thema_Bezeichung]],EFs_Fuhrpark[],6,FALSE),"")</f>
        <v/>
      </c>
      <c r="P113" s="15" t="str">
        <f>IFERROR(VLOOKUP(Fuhrpark[[#This Row],[Thema_Bezeichung]],EFs_Fuhrpark[],7,FALSE),"")</f>
        <v/>
      </c>
      <c r="Q113" s="15" t="str">
        <f>IFERROR(Fuhrpark[[#This Row],[Wert 
(Zahl)]]*Fuhrpark[[#This Row],[Scope 1 Emissionsfaktor '[kg CO2e/Einheit']]],"")</f>
        <v/>
      </c>
      <c r="R113" s="15" t="str">
        <f>IFERROR(Fuhrpark[[#This Row],[Wert 
(Zahl)]]*Fuhrpark[[#This Row],[Scope 2 Emissionsfaktor '[kg CO2e/Einheit']]],"")</f>
        <v/>
      </c>
      <c r="S113" s="15" t="str">
        <f>IFERROR(Fuhrpark[[#This Row],[Wert 
(Zahl)]]*Fuhrpark[[#This Row],[Scope 3 Emissionsfaktor '[kg CO2e/Einheit']]],"")</f>
        <v/>
      </c>
    </row>
    <row r="114" spans="2:19" s="95" customFormat="1" x14ac:dyDescent="0.35">
      <c r="B114" s="407"/>
      <c r="C114" s="10" t="str">
        <f t="shared" si="3"/>
        <v>Fuhrpark</v>
      </c>
      <c r="D114" s="96"/>
      <c r="E114" s="96"/>
      <c r="F114" s="313"/>
      <c r="G114" s="10" t="str">
        <f>IFERROR(VLOOKUP(Fuhrpark[[#This Row],[Thema_Bezeichung]],Emissionsfaktoren!$C$9:$N$201,4,FALSE),"")</f>
        <v/>
      </c>
      <c r="H114" s="96"/>
      <c r="I114" s="96"/>
      <c r="J114" s="96"/>
      <c r="K114" s="314" t="str">
        <f>IF(ISBLANK(Fuhrpark[[#This Row],[Wert 
(Zahl)]]),"", SUM(Fuhrpark[[#This Row],[Scope 1 Ergebnis location-based '[kg CO2e']]:[Scope 3 Ergebnis location-based '[kg CO2e']]]))</f>
        <v/>
      </c>
      <c r="L114" s="166"/>
      <c r="M114" s="15" t="str">
        <f>IF(ISBLANK(Fuhrpark[[#This Row],[Emissionsquelle/Aktivität (Dropdown)]]),"",CONCATENATE(Fuhrpark[[#This Row],[Sektor_Thema]]," - ",Fuhrpark[[#This Row],[Emissionsquelle/Aktivität (Dropdown)]]))</f>
        <v/>
      </c>
      <c r="N114" s="15" t="str">
        <f>IFERROR(VLOOKUP(Fuhrpark[[#This Row],[Thema_Bezeichung]],EFs_Fuhrpark[],5,FALSE),"")</f>
        <v/>
      </c>
      <c r="O114" s="15" t="str">
        <f>IFERROR(VLOOKUP(Fuhrpark[[#This Row],[Thema_Bezeichung]],EFs_Fuhrpark[],6,FALSE),"")</f>
        <v/>
      </c>
      <c r="P114" s="15" t="str">
        <f>IFERROR(VLOOKUP(Fuhrpark[[#This Row],[Thema_Bezeichung]],EFs_Fuhrpark[],7,FALSE),"")</f>
        <v/>
      </c>
      <c r="Q114" s="15" t="str">
        <f>IFERROR(Fuhrpark[[#This Row],[Wert 
(Zahl)]]*Fuhrpark[[#This Row],[Scope 1 Emissionsfaktor '[kg CO2e/Einheit']]],"")</f>
        <v/>
      </c>
      <c r="R114" s="15" t="str">
        <f>IFERROR(Fuhrpark[[#This Row],[Wert 
(Zahl)]]*Fuhrpark[[#This Row],[Scope 2 Emissionsfaktor '[kg CO2e/Einheit']]],"")</f>
        <v/>
      </c>
      <c r="S114" s="15" t="str">
        <f>IFERROR(Fuhrpark[[#This Row],[Wert 
(Zahl)]]*Fuhrpark[[#This Row],[Scope 3 Emissionsfaktor '[kg CO2e/Einheit']]],"")</f>
        <v/>
      </c>
    </row>
    <row r="115" spans="2:19" s="95" customFormat="1" x14ac:dyDescent="0.35">
      <c r="B115" s="407"/>
      <c r="C115" s="10" t="str">
        <f t="shared" si="3"/>
        <v>Fuhrpark</v>
      </c>
      <c r="D115" s="96"/>
      <c r="E115" s="96"/>
      <c r="F115" s="313"/>
      <c r="G115" s="10" t="str">
        <f>IFERROR(VLOOKUP(Fuhrpark[[#This Row],[Thema_Bezeichung]],Emissionsfaktoren!$C$9:$N$201,4,FALSE),"")</f>
        <v/>
      </c>
      <c r="H115" s="96"/>
      <c r="I115" s="96"/>
      <c r="J115" s="96"/>
      <c r="K115" s="314" t="str">
        <f>IF(ISBLANK(Fuhrpark[[#This Row],[Wert 
(Zahl)]]),"", SUM(Fuhrpark[[#This Row],[Scope 1 Ergebnis location-based '[kg CO2e']]:[Scope 3 Ergebnis location-based '[kg CO2e']]]))</f>
        <v/>
      </c>
      <c r="L115" s="166"/>
      <c r="M115" s="15" t="str">
        <f>IF(ISBLANK(Fuhrpark[[#This Row],[Emissionsquelle/Aktivität (Dropdown)]]),"",CONCATENATE(Fuhrpark[[#This Row],[Sektor_Thema]]," - ",Fuhrpark[[#This Row],[Emissionsquelle/Aktivität (Dropdown)]]))</f>
        <v/>
      </c>
      <c r="N115" s="15" t="str">
        <f>IFERROR(VLOOKUP(Fuhrpark[[#This Row],[Thema_Bezeichung]],EFs_Fuhrpark[],5,FALSE),"")</f>
        <v/>
      </c>
      <c r="O115" s="15" t="str">
        <f>IFERROR(VLOOKUP(Fuhrpark[[#This Row],[Thema_Bezeichung]],EFs_Fuhrpark[],6,FALSE),"")</f>
        <v/>
      </c>
      <c r="P115" s="15" t="str">
        <f>IFERROR(VLOOKUP(Fuhrpark[[#This Row],[Thema_Bezeichung]],EFs_Fuhrpark[],7,FALSE),"")</f>
        <v/>
      </c>
      <c r="Q115" s="15" t="str">
        <f>IFERROR(Fuhrpark[[#This Row],[Wert 
(Zahl)]]*Fuhrpark[[#This Row],[Scope 1 Emissionsfaktor '[kg CO2e/Einheit']]],"")</f>
        <v/>
      </c>
      <c r="R115" s="15" t="str">
        <f>IFERROR(Fuhrpark[[#This Row],[Wert 
(Zahl)]]*Fuhrpark[[#This Row],[Scope 2 Emissionsfaktor '[kg CO2e/Einheit']]],"")</f>
        <v/>
      </c>
      <c r="S115" s="15" t="str">
        <f>IFERROR(Fuhrpark[[#This Row],[Wert 
(Zahl)]]*Fuhrpark[[#This Row],[Scope 3 Emissionsfaktor '[kg CO2e/Einheit']]],"")</f>
        <v/>
      </c>
    </row>
    <row r="116" spans="2:19" s="95" customFormat="1" x14ac:dyDescent="0.35">
      <c r="B116" s="407"/>
      <c r="C116" s="10" t="str">
        <f t="shared" si="3"/>
        <v>Fuhrpark</v>
      </c>
      <c r="D116" s="96"/>
      <c r="E116" s="96"/>
      <c r="F116" s="313"/>
      <c r="G116" s="10" t="str">
        <f>IFERROR(VLOOKUP(Fuhrpark[[#This Row],[Thema_Bezeichung]],Emissionsfaktoren!$C$9:$N$201,4,FALSE),"")</f>
        <v/>
      </c>
      <c r="H116" s="96"/>
      <c r="I116" s="96"/>
      <c r="J116" s="96"/>
      <c r="K116" s="314" t="str">
        <f>IF(ISBLANK(Fuhrpark[[#This Row],[Wert 
(Zahl)]]),"", SUM(Fuhrpark[[#This Row],[Scope 1 Ergebnis location-based '[kg CO2e']]:[Scope 3 Ergebnis location-based '[kg CO2e']]]))</f>
        <v/>
      </c>
      <c r="L116" s="166"/>
      <c r="M116" s="15" t="str">
        <f>IF(ISBLANK(Fuhrpark[[#This Row],[Emissionsquelle/Aktivität (Dropdown)]]),"",CONCATENATE(Fuhrpark[[#This Row],[Sektor_Thema]]," - ",Fuhrpark[[#This Row],[Emissionsquelle/Aktivität (Dropdown)]]))</f>
        <v/>
      </c>
      <c r="N116" s="15" t="str">
        <f>IFERROR(VLOOKUP(Fuhrpark[[#This Row],[Thema_Bezeichung]],EFs_Fuhrpark[],5,FALSE),"")</f>
        <v/>
      </c>
      <c r="O116" s="15" t="str">
        <f>IFERROR(VLOOKUP(Fuhrpark[[#This Row],[Thema_Bezeichung]],EFs_Fuhrpark[],6,FALSE),"")</f>
        <v/>
      </c>
      <c r="P116" s="15" t="str">
        <f>IFERROR(VLOOKUP(Fuhrpark[[#This Row],[Thema_Bezeichung]],EFs_Fuhrpark[],7,FALSE),"")</f>
        <v/>
      </c>
      <c r="Q116" s="15" t="str">
        <f>IFERROR(Fuhrpark[[#This Row],[Wert 
(Zahl)]]*Fuhrpark[[#This Row],[Scope 1 Emissionsfaktor '[kg CO2e/Einheit']]],"")</f>
        <v/>
      </c>
      <c r="R116" s="15" t="str">
        <f>IFERROR(Fuhrpark[[#This Row],[Wert 
(Zahl)]]*Fuhrpark[[#This Row],[Scope 2 Emissionsfaktor '[kg CO2e/Einheit']]],"")</f>
        <v/>
      </c>
      <c r="S116" s="15" t="str">
        <f>IFERROR(Fuhrpark[[#This Row],[Wert 
(Zahl)]]*Fuhrpark[[#This Row],[Scope 3 Emissionsfaktor '[kg CO2e/Einheit']]],"")</f>
        <v/>
      </c>
    </row>
    <row r="117" spans="2:19" s="95" customFormat="1" x14ac:dyDescent="0.35">
      <c r="B117" s="407"/>
      <c r="C117" s="10" t="str">
        <f t="shared" si="3"/>
        <v>Fuhrpark</v>
      </c>
      <c r="D117" s="96"/>
      <c r="E117" s="96"/>
      <c r="F117" s="313"/>
      <c r="G117" s="10" t="str">
        <f>IFERROR(VLOOKUP(Fuhrpark[[#This Row],[Thema_Bezeichung]],Emissionsfaktoren!$C$9:$N$201,4,FALSE),"")</f>
        <v/>
      </c>
      <c r="H117" s="96"/>
      <c r="I117" s="96"/>
      <c r="J117" s="96"/>
      <c r="K117" s="314" t="str">
        <f>IF(ISBLANK(Fuhrpark[[#This Row],[Wert 
(Zahl)]]),"", SUM(Fuhrpark[[#This Row],[Scope 1 Ergebnis location-based '[kg CO2e']]:[Scope 3 Ergebnis location-based '[kg CO2e']]]))</f>
        <v/>
      </c>
      <c r="L117" s="166"/>
      <c r="M117" s="15" t="str">
        <f>IF(ISBLANK(Fuhrpark[[#This Row],[Emissionsquelle/Aktivität (Dropdown)]]),"",CONCATENATE(Fuhrpark[[#This Row],[Sektor_Thema]]," - ",Fuhrpark[[#This Row],[Emissionsquelle/Aktivität (Dropdown)]]))</f>
        <v/>
      </c>
      <c r="N117" s="15" t="str">
        <f>IFERROR(VLOOKUP(Fuhrpark[[#This Row],[Thema_Bezeichung]],EFs_Fuhrpark[],5,FALSE),"")</f>
        <v/>
      </c>
      <c r="O117" s="15" t="str">
        <f>IFERROR(VLOOKUP(Fuhrpark[[#This Row],[Thema_Bezeichung]],EFs_Fuhrpark[],6,FALSE),"")</f>
        <v/>
      </c>
      <c r="P117" s="15" t="str">
        <f>IFERROR(VLOOKUP(Fuhrpark[[#This Row],[Thema_Bezeichung]],EFs_Fuhrpark[],7,FALSE),"")</f>
        <v/>
      </c>
      <c r="Q117" s="15" t="str">
        <f>IFERROR(Fuhrpark[[#This Row],[Wert 
(Zahl)]]*Fuhrpark[[#This Row],[Scope 1 Emissionsfaktor '[kg CO2e/Einheit']]],"")</f>
        <v/>
      </c>
      <c r="R117" s="15" t="str">
        <f>IFERROR(Fuhrpark[[#This Row],[Wert 
(Zahl)]]*Fuhrpark[[#This Row],[Scope 2 Emissionsfaktor '[kg CO2e/Einheit']]],"")</f>
        <v/>
      </c>
      <c r="S117" s="15" t="str">
        <f>IFERROR(Fuhrpark[[#This Row],[Wert 
(Zahl)]]*Fuhrpark[[#This Row],[Scope 3 Emissionsfaktor '[kg CO2e/Einheit']]],"")</f>
        <v/>
      </c>
    </row>
    <row r="118" spans="2:19" s="95" customFormat="1" x14ac:dyDescent="0.35">
      <c r="B118" s="407"/>
      <c r="C118" s="10" t="str">
        <f t="shared" si="3"/>
        <v>Fuhrpark</v>
      </c>
      <c r="D118" s="96"/>
      <c r="E118" s="96"/>
      <c r="F118" s="313"/>
      <c r="G118" s="10" t="str">
        <f>IFERROR(VLOOKUP(Fuhrpark[[#This Row],[Thema_Bezeichung]],Emissionsfaktoren!$C$9:$N$201,4,FALSE),"")</f>
        <v/>
      </c>
      <c r="H118" s="96"/>
      <c r="I118" s="96"/>
      <c r="J118" s="96"/>
      <c r="K118" s="314" t="str">
        <f>IF(ISBLANK(Fuhrpark[[#This Row],[Wert 
(Zahl)]]),"", SUM(Fuhrpark[[#This Row],[Scope 1 Ergebnis location-based '[kg CO2e']]:[Scope 3 Ergebnis location-based '[kg CO2e']]]))</f>
        <v/>
      </c>
      <c r="L118" s="166"/>
      <c r="M118" s="15" t="str">
        <f>IF(ISBLANK(Fuhrpark[[#This Row],[Emissionsquelle/Aktivität (Dropdown)]]),"",CONCATENATE(Fuhrpark[[#This Row],[Sektor_Thema]]," - ",Fuhrpark[[#This Row],[Emissionsquelle/Aktivität (Dropdown)]]))</f>
        <v/>
      </c>
      <c r="N118" s="15" t="str">
        <f>IFERROR(VLOOKUP(Fuhrpark[[#This Row],[Thema_Bezeichung]],EFs_Fuhrpark[],5,FALSE),"")</f>
        <v/>
      </c>
      <c r="O118" s="15" t="str">
        <f>IFERROR(VLOOKUP(Fuhrpark[[#This Row],[Thema_Bezeichung]],EFs_Fuhrpark[],6,FALSE),"")</f>
        <v/>
      </c>
      <c r="P118" s="15" t="str">
        <f>IFERROR(VLOOKUP(Fuhrpark[[#This Row],[Thema_Bezeichung]],EFs_Fuhrpark[],7,FALSE),"")</f>
        <v/>
      </c>
      <c r="Q118" s="15" t="str">
        <f>IFERROR(Fuhrpark[[#This Row],[Wert 
(Zahl)]]*Fuhrpark[[#This Row],[Scope 1 Emissionsfaktor '[kg CO2e/Einheit']]],"")</f>
        <v/>
      </c>
      <c r="R118" s="15" t="str">
        <f>IFERROR(Fuhrpark[[#This Row],[Wert 
(Zahl)]]*Fuhrpark[[#This Row],[Scope 2 Emissionsfaktor '[kg CO2e/Einheit']]],"")</f>
        <v/>
      </c>
      <c r="S118" s="15" t="str">
        <f>IFERROR(Fuhrpark[[#This Row],[Wert 
(Zahl)]]*Fuhrpark[[#This Row],[Scope 3 Emissionsfaktor '[kg CO2e/Einheit']]],"")</f>
        <v/>
      </c>
    </row>
    <row r="119" spans="2:19" s="95" customFormat="1" x14ac:dyDescent="0.35">
      <c r="B119" s="407"/>
      <c r="C119" s="10" t="str">
        <f t="shared" si="3"/>
        <v>Fuhrpark</v>
      </c>
      <c r="D119" s="96"/>
      <c r="E119" s="96"/>
      <c r="F119" s="313"/>
      <c r="G119" s="10" t="str">
        <f>IFERROR(VLOOKUP(Fuhrpark[[#This Row],[Thema_Bezeichung]],Emissionsfaktoren!$C$9:$N$201,4,FALSE),"")</f>
        <v/>
      </c>
      <c r="H119" s="96"/>
      <c r="I119" s="96"/>
      <c r="J119" s="96"/>
      <c r="K119" s="314" t="str">
        <f>IF(ISBLANK(Fuhrpark[[#This Row],[Wert 
(Zahl)]]),"", SUM(Fuhrpark[[#This Row],[Scope 1 Ergebnis location-based '[kg CO2e']]:[Scope 3 Ergebnis location-based '[kg CO2e']]]))</f>
        <v/>
      </c>
      <c r="L119" s="166"/>
      <c r="M119" s="15" t="str">
        <f>IF(ISBLANK(Fuhrpark[[#This Row],[Emissionsquelle/Aktivität (Dropdown)]]),"",CONCATENATE(Fuhrpark[[#This Row],[Sektor_Thema]]," - ",Fuhrpark[[#This Row],[Emissionsquelle/Aktivität (Dropdown)]]))</f>
        <v/>
      </c>
      <c r="N119" s="15" t="str">
        <f>IFERROR(VLOOKUP(Fuhrpark[[#This Row],[Thema_Bezeichung]],EFs_Fuhrpark[],5,FALSE),"")</f>
        <v/>
      </c>
      <c r="O119" s="15" t="str">
        <f>IFERROR(VLOOKUP(Fuhrpark[[#This Row],[Thema_Bezeichung]],EFs_Fuhrpark[],6,FALSE),"")</f>
        <v/>
      </c>
      <c r="P119" s="15" t="str">
        <f>IFERROR(VLOOKUP(Fuhrpark[[#This Row],[Thema_Bezeichung]],EFs_Fuhrpark[],7,FALSE),"")</f>
        <v/>
      </c>
      <c r="Q119" s="15" t="str">
        <f>IFERROR(Fuhrpark[[#This Row],[Wert 
(Zahl)]]*Fuhrpark[[#This Row],[Scope 1 Emissionsfaktor '[kg CO2e/Einheit']]],"")</f>
        <v/>
      </c>
      <c r="R119" s="15" t="str">
        <f>IFERROR(Fuhrpark[[#This Row],[Wert 
(Zahl)]]*Fuhrpark[[#This Row],[Scope 2 Emissionsfaktor '[kg CO2e/Einheit']]],"")</f>
        <v/>
      </c>
      <c r="S119" s="15" t="str">
        <f>IFERROR(Fuhrpark[[#This Row],[Wert 
(Zahl)]]*Fuhrpark[[#This Row],[Scope 3 Emissionsfaktor '[kg CO2e/Einheit']]],"")</f>
        <v/>
      </c>
    </row>
    <row r="120" spans="2:19" s="95" customFormat="1" x14ac:dyDescent="0.35">
      <c r="B120" s="407"/>
      <c r="C120" s="10" t="str">
        <f t="shared" si="3"/>
        <v>Fuhrpark</v>
      </c>
      <c r="D120" s="96"/>
      <c r="E120" s="96"/>
      <c r="F120" s="313"/>
      <c r="G120" s="10" t="str">
        <f>IFERROR(VLOOKUP(Fuhrpark[[#This Row],[Thema_Bezeichung]],Emissionsfaktoren!$C$9:$N$201,4,FALSE),"")</f>
        <v/>
      </c>
      <c r="H120" s="96"/>
      <c r="I120" s="96"/>
      <c r="J120" s="96"/>
      <c r="K120" s="314" t="str">
        <f>IF(ISBLANK(Fuhrpark[[#This Row],[Wert 
(Zahl)]]),"", SUM(Fuhrpark[[#This Row],[Scope 1 Ergebnis location-based '[kg CO2e']]:[Scope 3 Ergebnis location-based '[kg CO2e']]]))</f>
        <v/>
      </c>
      <c r="L120" s="166"/>
      <c r="M120" s="15" t="str">
        <f>IF(ISBLANK(Fuhrpark[[#This Row],[Emissionsquelle/Aktivität (Dropdown)]]),"",CONCATENATE(Fuhrpark[[#This Row],[Sektor_Thema]]," - ",Fuhrpark[[#This Row],[Emissionsquelle/Aktivität (Dropdown)]]))</f>
        <v/>
      </c>
      <c r="N120" s="15" t="str">
        <f>IFERROR(VLOOKUP(Fuhrpark[[#This Row],[Thema_Bezeichung]],EFs_Fuhrpark[],5,FALSE),"")</f>
        <v/>
      </c>
      <c r="O120" s="15" t="str">
        <f>IFERROR(VLOOKUP(Fuhrpark[[#This Row],[Thema_Bezeichung]],EFs_Fuhrpark[],6,FALSE),"")</f>
        <v/>
      </c>
      <c r="P120" s="15" t="str">
        <f>IFERROR(VLOOKUP(Fuhrpark[[#This Row],[Thema_Bezeichung]],EFs_Fuhrpark[],7,FALSE),"")</f>
        <v/>
      </c>
      <c r="Q120" s="15" t="str">
        <f>IFERROR(Fuhrpark[[#This Row],[Wert 
(Zahl)]]*Fuhrpark[[#This Row],[Scope 1 Emissionsfaktor '[kg CO2e/Einheit']]],"")</f>
        <v/>
      </c>
      <c r="R120" s="15" t="str">
        <f>IFERROR(Fuhrpark[[#This Row],[Wert 
(Zahl)]]*Fuhrpark[[#This Row],[Scope 2 Emissionsfaktor '[kg CO2e/Einheit']]],"")</f>
        <v/>
      </c>
      <c r="S120" s="15" t="str">
        <f>IFERROR(Fuhrpark[[#This Row],[Wert 
(Zahl)]]*Fuhrpark[[#This Row],[Scope 3 Emissionsfaktor '[kg CO2e/Einheit']]],"")</f>
        <v/>
      </c>
    </row>
    <row r="121" spans="2:19" s="95" customFormat="1" x14ac:dyDescent="0.35">
      <c r="B121" s="407"/>
      <c r="C121" s="10" t="str">
        <f t="shared" si="3"/>
        <v>Fuhrpark</v>
      </c>
      <c r="D121" s="96"/>
      <c r="E121" s="96"/>
      <c r="F121" s="313"/>
      <c r="G121" s="10" t="str">
        <f>IFERROR(VLOOKUP(Fuhrpark[[#This Row],[Thema_Bezeichung]],Emissionsfaktoren!$C$9:$N$201,4,FALSE),"")</f>
        <v/>
      </c>
      <c r="H121" s="96"/>
      <c r="I121" s="96"/>
      <c r="J121" s="96"/>
      <c r="K121" s="314" t="str">
        <f>IF(ISBLANK(Fuhrpark[[#This Row],[Wert 
(Zahl)]]),"", SUM(Fuhrpark[[#This Row],[Scope 1 Ergebnis location-based '[kg CO2e']]:[Scope 3 Ergebnis location-based '[kg CO2e']]]))</f>
        <v/>
      </c>
      <c r="L121" s="166"/>
      <c r="M121" s="15" t="str">
        <f>IF(ISBLANK(Fuhrpark[[#This Row],[Emissionsquelle/Aktivität (Dropdown)]]),"",CONCATENATE(Fuhrpark[[#This Row],[Sektor_Thema]]," - ",Fuhrpark[[#This Row],[Emissionsquelle/Aktivität (Dropdown)]]))</f>
        <v/>
      </c>
      <c r="N121" s="15" t="str">
        <f>IFERROR(VLOOKUP(Fuhrpark[[#This Row],[Thema_Bezeichung]],EFs_Fuhrpark[],5,FALSE),"")</f>
        <v/>
      </c>
      <c r="O121" s="15" t="str">
        <f>IFERROR(VLOOKUP(Fuhrpark[[#This Row],[Thema_Bezeichung]],EFs_Fuhrpark[],6,FALSE),"")</f>
        <v/>
      </c>
      <c r="P121" s="15" t="str">
        <f>IFERROR(VLOOKUP(Fuhrpark[[#This Row],[Thema_Bezeichung]],EFs_Fuhrpark[],7,FALSE),"")</f>
        <v/>
      </c>
      <c r="Q121" s="15" t="str">
        <f>IFERROR(Fuhrpark[[#This Row],[Wert 
(Zahl)]]*Fuhrpark[[#This Row],[Scope 1 Emissionsfaktor '[kg CO2e/Einheit']]],"")</f>
        <v/>
      </c>
      <c r="R121" s="15" t="str">
        <f>IFERROR(Fuhrpark[[#This Row],[Wert 
(Zahl)]]*Fuhrpark[[#This Row],[Scope 2 Emissionsfaktor '[kg CO2e/Einheit']]],"")</f>
        <v/>
      </c>
      <c r="S121" s="15" t="str">
        <f>IFERROR(Fuhrpark[[#This Row],[Wert 
(Zahl)]]*Fuhrpark[[#This Row],[Scope 3 Emissionsfaktor '[kg CO2e/Einheit']]],"")</f>
        <v/>
      </c>
    </row>
    <row r="122" spans="2:19" s="95" customFormat="1" x14ac:dyDescent="0.35">
      <c r="B122" s="407"/>
      <c r="C122" s="10" t="str">
        <f t="shared" si="3"/>
        <v>Fuhrpark</v>
      </c>
      <c r="D122" s="96"/>
      <c r="E122" s="96"/>
      <c r="F122" s="313"/>
      <c r="G122" s="10" t="str">
        <f>IFERROR(VLOOKUP(Fuhrpark[[#This Row],[Thema_Bezeichung]],Emissionsfaktoren!$C$9:$N$201,4,FALSE),"")</f>
        <v/>
      </c>
      <c r="H122" s="96"/>
      <c r="I122" s="96"/>
      <c r="J122" s="96"/>
      <c r="K122" s="314" t="str">
        <f>IF(ISBLANK(Fuhrpark[[#This Row],[Wert 
(Zahl)]]),"", SUM(Fuhrpark[[#This Row],[Scope 1 Ergebnis location-based '[kg CO2e']]:[Scope 3 Ergebnis location-based '[kg CO2e']]]))</f>
        <v/>
      </c>
      <c r="L122" s="166"/>
      <c r="M122" s="15" t="str">
        <f>IF(ISBLANK(Fuhrpark[[#This Row],[Emissionsquelle/Aktivität (Dropdown)]]),"",CONCATENATE(Fuhrpark[[#This Row],[Sektor_Thema]]," - ",Fuhrpark[[#This Row],[Emissionsquelle/Aktivität (Dropdown)]]))</f>
        <v/>
      </c>
      <c r="N122" s="15" t="str">
        <f>IFERROR(VLOOKUP(Fuhrpark[[#This Row],[Thema_Bezeichung]],EFs_Fuhrpark[],5,FALSE),"")</f>
        <v/>
      </c>
      <c r="O122" s="15" t="str">
        <f>IFERROR(VLOOKUP(Fuhrpark[[#This Row],[Thema_Bezeichung]],EFs_Fuhrpark[],6,FALSE),"")</f>
        <v/>
      </c>
      <c r="P122" s="15" t="str">
        <f>IFERROR(VLOOKUP(Fuhrpark[[#This Row],[Thema_Bezeichung]],EFs_Fuhrpark[],7,FALSE),"")</f>
        <v/>
      </c>
      <c r="Q122" s="15" t="str">
        <f>IFERROR(Fuhrpark[[#This Row],[Wert 
(Zahl)]]*Fuhrpark[[#This Row],[Scope 1 Emissionsfaktor '[kg CO2e/Einheit']]],"")</f>
        <v/>
      </c>
      <c r="R122" s="15" t="str">
        <f>IFERROR(Fuhrpark[[#This Row],[Wert 
(Zahl)]]*Fuhrpark[[#This Row],[Scope 2 Emissionsfaktor '[kg CO2e/Einheit']]],"")</f>
        <v/>
      </c>
      <c r="S122" s="15" t="str">
        <f>IFERROR(Fuhrpark[[#This Row],[Wert 
(Zahl)]]*Fuhrpark[[#This Row],[Scope 3 Emissionsfaktor '[kg CO2e/Einheit']]],"")</f>
        <v/>
      </c>
    </row>
    <row r="123" spans="2:19" s="95" customFormat="1" x14ac:dyDescent="0.35">
      <c r="B123" s="407"/>
      <c r="C123" s="10" t="str">
        <f t="shared" si="3"/>
        <v>Fuhrpark</v>
      </c>
      <c r="D123" s="96"/>
      <c r="E123" s="96"/>
      <c r="F123" s="313"/>
      <c r="G123" s="10" t="str">
        <f>IFERROR(VLOOKUP(Fuhrpark[[#This Row],[Thema_Bezeichung]],Emissionsfaktoren!$C$9:$N$201,4,FALSE),"")</f>
        <v/>
      </c>
      <c r="H123" s="96"/>
      <c r="I123" s="96"/>
      <c r="J123" s="96"/>
      <c r="K123" s="314" t="str">
        <f>IF(ISBLANK(Fuhrpark[[#This Row],[Wert 
(Zahl)]]),"", SUM(Fuhrpark[[#This Row],[Scope 1 Ergebnis location-based '[kg CO2e']]:[Scope 3 Ergebnis location-based '[kg CO2e']]]))</f>
        <v/>
      </c>
      <c r="L123" s="166"/>
      <c r="M123" s="15" t="str">
        <f>IF(ISBLANK(Fuhrpark[[#This Row],[Emissionsquelle/Aktivität (Dropdown)]]),"",CONCATENATE(Fuhrpark[[#This Row],[Sektor_Thema]]," - ",Fuhrpark[[#This Row],[Emissionsquelle/Aktivität (Dropdown)]]))</f>
        <v/>
      </c>
      <c r="N123" s="15" t="str">
        <f>IFERROR(VLOOKUP(Fuhrpark[[#This Row],[Thema_Bezeichung]],EFs_Fuhrpark[],5,FALSE),"")</f>
        <v/>
      </c>
      <c r="O123" s="15" t="str">
        <f>IFERROR(VLOOKUP(Fuhrpark[[#This Row],[Thema_Bezeichung]],EFs_Fuhrpark[],6,FALSE),"")</f>
        <v/>
      </c>
      <c r="P123" s="15" t="str">
        <f>IFERROR(VLOOKUP(Fuhrpark[[#This Row],[Thema_Bezeichung]],EFs_Fuhrpark[],7,FALSE),"")</f>
        <v/>
      </c>
      <c r="Q123" s="15" t="str">
        <f>IFERROR(Fuhrpark[[#This Row],[Wert 
(Zahl)]]*Fuhrpark[[#This Row],[Scope 1 Emissionsfaktor '[kg CO2e/Einheit']]],"")</f>
        <v/>
      </c>
      <c r="R123" s="15" t="str">
        <f>IFERROR(Fuhrpark[[#This Row],[Wert 
(Zahl)]]*Fuhrpark[[#This Row],[Scope 2 Emissionsfaktor '[kg CO2e/Einheit']]],"")</f>
        <v/>
      </c>
      <c r="S123" s="15" t="str">
        <f>IFERROR(Fuhrpark[[#This Row],[Wert 
(Zahl)]]*Fuhrpark[[#This Row],[Scope 3 Emissionsfaktor '[kg CO2e/Einheit']]],"")</f>
        <v/>
      </c>
    </row>
    <row r="124" spans="2:19" s="95" customFormat="1" x14ac:dyDescent="0.35">
      <c r="B124" s="407"/>
      <c r="C124" s="10" t="str">
        <f t="shared" si="3"/>
        <v>Fuhrpark</v>
      </c>
      <c r="D124" s="96"/>
      <c r="E124" s="96"/>
      <c r="F124" s="313"/>
      <c r="G124" s="10" t="str">
        <f>IFERROR(VLOOKUP(Fuhrpark[[#This Row],[Thema_Bezeichung]],Emissionsfaktoren!$C$9:$N$201,4,FALSE),"")</f>
        <v/>
      </c>
      <c r="H124" s="96"/>
      <c r="I124" s="96"/>
      <c r="J124" s="96"/>
      <c r="K124" s="314" t="str">
        <f>IF(ISBLANK(Fuhrpark[[#This Row],[Wert 
(Zahl)]]),"", SUM(Fuhrpark[[#This Row],[Scope 1 Ergebnis location-based '[kg CO2e']]:[Scope 3 Ergebnis location-based '[kg CO2e']]]))</f>
        <v/>
      </c>
      <c r="L124" s="166"/>
      <c r="M124" s="15" t="str">
        <f>IF(ISBLANK(Fuhrpark[[#This Row],[Emissionsquelle/Aktivität (Dropdown)]]),"",CONCATENATE(Fuhrpark[[#This Row],[Sektor_Thema]]," - ",Fuhrpark[[#This Row],[Emissionsquelle/Aktivität (Dropdown)]]))</f>
        <v/>
      </c>
      <c r="N124" s="15" t="str">
        <f>IFERROR(VLOOKUP(Fuhrpark[[#This Row],[Thema_Bezeichung]],EFs_Fuhrpark[],5,FALSE),"")</f>
        <v/>
      </c>
      <c r="O124" s="15" t="str">
        <f>IFERROR(VLOOKUP(Fuhrpark[[#This Row],[Thema_Bezeichung]],EFs_Fuhrpark[],6,FALSE),"")</f>
        <v/>
      </c>
      <c r="P124" s="15" t="str">
        <f>IFERROR(VLOOKUP(Fuhrpark[[#This Row],[Thema_Bezeichung]],EFs_Fuhrpark[],7,FALSE),"")</f>
        <v/>
      </c>
      <c r="Q124" s="15" t="str">
        <f>IFERROR(Fuhrpark[[#This Row],[Wert 
(Zahl)]]*Fuhrpark[[#This Row],[Scope 1 Emissionsfaktor '[kg CO2e/Einheit']]],"")</f>
        <v/>
      </c>
      <c r="R124" s="15" t="str">
        <f>IFERROR(Fuhrpark[[#This Row],[Wert 
(Zahl)]]*Fuhrpark[[#This Row],[Scope 2 Emissionsfaktor '[kg CO2e/Einheit']]],"")</f>
        <v/>
      </c>
      <c r="S124" s="15" t="str">
        <f>IFERROR(Fuhrpark[[#This Row],[Wert 
(Zahl)]]*Fuhrpark[[#This Row],[Scope 3 Emissionsfaktor '[kg CO2e/Einheit']]],"")</f>
        <v/>
      </c>
    </row>
    <row r="125" spans="2:19" s="95" customFormat="1" x14ac:dyDescent="0.35">
      <c r="B125" s="407"/>
      <c r="C125" s="10" t="str">
        <f t="shared" si="3"/>
        <v>Fuhrpark</v>
      </c>
      <c r="D125" s="96"/>
      <c r="E125" s="96"/>
      <c r="F125" s="313"/>
      <c r="G125" s="10" t="str">
        <f>IFERROR(VLOOKUP(Fuhrpark[[#This Row],[Thema_Bezeichung]],Emissionsfaktoren!$C$9:$N$201,4,FALSE),"")</f>
        <v/>
      </c>
      <c r="H125" s="96"/>
      <c r="I125" s="96"/>
      <c r="J125" s="96"/>
      <c r="K125" s="314" t="str">
        <f>IF(ISBLANK(Fuhrpark[[#This Row],[Wert 
(Zahl)]]),"", SUM(Fuhrpark[[#This Row],[Scope 1 Ergebnis location-based '[kg CO2e']]:[Scope 3 Ergebnis location-based '[kg CO2e']]]))</f>
        <v/>
      </c>
      <c r="L125" s="166"/>
      <c r="M125" s="15" t="str">
        <f>IF(ISBLANK(Fuhrpark[[#This Row],[Emissionsquelle/Aktivität (Dropdown)]]),"",CONCATENATE(Fuhrpark[[#This Row],[Sektor_Thema]]," - ",Fuhrpark[[#This Row],[Emissionsquelle/Aktivität (Dropdown)]]))</f>
        <v/>
      </c>
      <c r="N125" s="15" t="str">
        <f>IFERROR(VLOOKUP(Fuhrpark[[#This Row],[Thema_Bezeichung]],EFs_Fuhrpark[],5,FALSE),"")</f>
        <v/>
      </c>
      <c r="O125" s="15" t="str">
        <f>IFERROR(VLOOKUP(Fuhrpark[[#This Row],[Thema_Bezeichung]],EFs_Fuhrpark[],6,FALSE),"")</f>
        <v/>
      </c>
      <c r="P125" s="15" t="str">
        <f>IFERROR(VLOOKUP(Fuhrpark[[#This Row],[Thema_Bezeichung]],EFs_Fuhrpark[],7,FALSE),"")</f>
        <v/>
      </c>
      <c r="Q125" s="15" t="str">
        <f>IFERROR(Fuhrpark[[#This Row],[Wert 
(Zahl)]]*Fuhrpark[[#This Row],[Scope 1 Emissionsfaktor '[kg CO2e/Einheit']]],"")</f>
        <v/>
      </c>
      <c r="R125" s="15" t="str">
        <f>IFERROR(Fuhrpark[[#This Row],[Wert 
(Zahl)]]*Fuhrpark[[#This Row],[Scope 2 Emissionsfaktor '[kg CO2e/Einheit']]],"")</f>
        <v/>
      </c>
      <c r="S125" s="15" t="str">
        <f>IFERROR(Fuhrpark[[#This Row],[Wert 
(Zahl)]]*Fuhrpark[[#This Row],[Scope 3 Emissionsfaktor '[kg CO2e/Einheit']]],"")</f>
        <v/>
      </c>
    </row>
    <row r="126" spans="2:19" s="95" customFormat="1" x14ac:dyDescent="0.35">
      <c r="B126" s="407"/>
      <c r="C126" s="10" t="str">
        <f t="shared" si="3"/>
        <v>Fuhrpark</v>
      </c>
      <c r="D126" s="96"/>
      <c r="E126" s="96"/>
      <c r="F126" s="313"/>
      <c r="G126" s="10" t="str">
        <f>IFERROR(VLOOKUP(Fuhrpark[[#This Row],[Thema_Bezeichung]],Emissionsfaktoren!$C$9:$N$201,4,FALSE),"")</f>
        <v/>
      </c>
      <c r="H126" s="96"/>
      <c r="I126" s="96"/>
      <c r="J126" s="96"/>
      <c r="K126" s="314" t="str">
        <f>IF(ISBLANK(Fuhrpark[[#This Row],[Wert 
(Zahl)]]),"", SUM(Fuhrpark[[#This Row],[Scope 1 Ergebnis location-based '[kg CO2e']]:[Scope 3 Ergebnis location-based '[kg CO2e']]]))</f>
        <v/>
      </c>
      <c r="L126" s="166"/>
      <c r="M126" s="15" t="str">
        <f>IF(ISBLANK(Fuhrpark[[#This Row],[Emissionsquelle/Aktivität (Dropdown)]]),"",CONCATENATE(Fuhrpark[[#This Row],[Sektor_Thema]]," - ",Fuhrpark[[#This Row],[Emissionsquelle/Aktivität (Dropdown)]]))</f>
        <v/>
      </c>
      <c r="N126" s="15" t="str">
        <f>IFERROR(VLOOKUP(Fuhrpark[[#This Row],[Thema_Bezeichung]],EFs_Fuhrpark[],5,FALSE),"")</f>
        <v/>
      </c>
      <c r="O126" s="15" t="str">
        <f>IFERROR(VLOOKUP(Fuhrpark[[#This Row],[Thema_Bezeichung]],EFs_Fuhrpark[],6,FALSE),"")</f>
        <v/>
      </c>
      <c r="P126" s="15" t="str">
        <f>IFERROR(VLOOKUP(Fuhrpark[[#This Row],[Thema_Bezeichung]],EFs_Fuhrpark[],7,FALSE),"")</f>
        <v/>
      </c>
      <c r="Q126" s="15" t="str">
        <f>IFERROR(Fuhrpark[[#This Row],[Wert 
(Zahl)]]*Fuhrpark[[#This Row],[Scope 1 Emissionsfaktor '[kg CO2e/Einheit']]],"")</f>
        <v/>
      </c>
      <c r="R126" s="15" t="str">
        <f>IFERROR(Fuhrpark[[#This Row],[Wert 
(Zahl)]]*Fuhrpark[[#This Row],[Scope 2 Emissionsfaktor '[kg CO2e/Einheit']]],"")</f>
        <v/>
      </c>
      <c r="S126" s="15" t="str">
        <f>IFERROR(Fuhrpark[[#This Row],[Wert 
(Zahl)]]*Fuhrpark[[#This Row],[Scope 3 Emissionsfaktor '[kg CO2e/Einheit']]],"")</f>
        <v/>
      </c>
    </row>
    <row r="127" spans="2:19" s="95" customFormat="1" x14ac:dyDescent="0.35">
      <c r="B127" s="407"/>
      <c r="C127" s="10" t="str">
        <f t="shared" si="3"/>
        <v>Fuhrpark</v>
      </c>
      <c r="D127" s="96"/>
      <c r="E127" s="96"/>
      <c r="F127" s="313"/>
      <c r="G127" s="10" t="str">
        <f>IFERROR(VLOOKUP(Fuhrpark[[#This Row],[Thema_Bezeichung]],Emissionsfaktoren!$C$9:$N$201,4,FALSE),"")</f>
        <v/>
      </c>
      <c r="H127" s="96"/>
      <c r="I127" s="96"/>
      <c r="J127" s="96"/>
      <c r="K127" s="314" t="str">
        <f>IF(ISBLANK(Fuhrpark[[#This Row],[Wert 
(Zahl)]]),"", SUM(Fuhrpark[[#This Row],[Scope 1 Ergebnis location-based '[kg CO2e']]:[Scope 3 Ergebnis location-based '[kg CO2e']]]))</f>
        <v/>
      </c>
      <c r="L127" s="166"/>
      <c r="M127" s="15" t="str">
        <f>IF(ISBLANK(Fuhrpark[[#This Row],[Emissionsquelle/Aktivität (Dropdown)]]),"",CONCATENATE(Fuhrpark[[#This Row],[Sektor_Thema]]," - ",Fuhrpark[[#This Row],[Emissionsquelle/Aktivität (Dropdown)]]))</f>
        <v/>
      </c>
      <c r="N127" s="15" t="str">
        <f>IFERROR(VLOOKUP(Fuhrpark[[#This Row],[Thema_Bezeichung]],EFs_Fuhrpark[],5,FALSE),"")</f>
        <v/>
      </c>
      <c r="O127" s="15" t="str">
        <f>IFERROR(VLOOKUP(Fuhrpark[[#This Row],[Thema_Bezeichung]],EFs_Fuhrpark[],6,FALSE),"")</f>
        <v/>
      </c>
      <c r="P127" s="15" t="str">
        <f>IFERROR(VLOOKUP(Fuhrpark[[#This Row],[Thema_Bezeichung]],EFs_Fuhrpark[],7,FALSE),"")</f>
        <v/>
      </c>
      <c r="Q127" s="15" t="str">
        <f>IFERROR(Fuhrpark[[#This Row],[Wert 
(Zahl)]]*Fuhrpark[[#This Row],[Scope 1 Emissionsfaktor '[kg CO2e/Einheit']]],"")</f>
        <v/>
      </c>
      <c r="R127" s="15" t="str">
        <f>IFERROR(Fuhrpark[[#This Row],[Wert 
(Zahl)]]*Fuhrpark[[#This Row],[Scope 2 Emissionsfaktor '[kg CO2e/Einheit']]],"")</f>
        <v/>
      </c>
      <c r="S127" s="15" t="str">
        <f>IFERROR(Fuhrpark[[#This Row],[Wert 
(Zahl)]]*Fuhrpark[[#This Row],[Scope 3 Emissionsfaktor '[kg CO2e/Einheit']]],"")</f>
        <v/>
      </c>
    </row>
    <row r="128" spans="2:19" s="95" customFormat="1" x14ac:dyDescent="0.35">
      <c r="B128" s="407"/>
      <c r="C128" s="96" t="str">
        <f t="shared" si="3"/>
        <v>Fuhrpark</v>
      </c>
      <c r="D128" s="96"/>
      <c r="E128" s="96"/>
      <c r="F128" s="313"/>
      <c r="G128" s="96" t="str">
        <f>IFERROR(VLOOKUP(Fuhrpark[[#This Row],[Thema_Bezeichung]],Emissionsfaktoren!$C$9:$N$201,4,FALSE),"")</f>
        <v/>
      </c>
      <c r="H128" s="96"/>
      <c r="I128" s="96"/>
      <c r="J128" s="96"/>
      <c r="K128" s="315" t="str">
        <f>IF(ISBLANK(Fuhrpark[[#This Row],[Wert 
(Zahl)]]),"", SUM(Fuhrpark[[#This Row],[Scope 1 Ergebnis location-based '[kg CO2e']]:[Scope 3 Ergebnis location-based '[kg CO2e']]]))</f>
        <v/>
      </c>
      <c r="L128" s="167"/>
      <c r="M128" s="100" t="str">
        <f>IF(ISBLANK(Fuhrpark[[#This Row],[Emissionsquelle/Aktivität (Dropdown)]]),"",CONCATENATE(Fuhrpark[[#This Row],[Sektor_Thema]]," - ",Fuhrpark[[#This Row],[Emissionsquelle/Aktivität (Dropdown)]]))</f>
        <v/>
      </c>
      <c r="N128" s="100" t="str">
        <f>IFERROR(VLOOKUP(Fuhrpark[[#This Row],[Thema_Bezeichung]],EFs_Fuhrpark[],5,FALSE),"")</f>
        <v/>
      </c>
      <c r="O128" s="100" t="str">
        <f>IFERROR(VLOOKUP(Fuhrpark[[#This Row],[Thema_Bezeichung]],EFs_Fuhrpark[],6,FALSE),"")</f>
        <v/>
      </c>
      <c r="P128" s="100" t="str">
        <f>IFERROR(VLOOKUP(Fuhrpark[[#This Row],[Thema_Bezeichung]],EFs_Fuhrpark[],7,FALSE),"")</f>
        <v/>
      </c>
      <c r="Q128" s="100" t="str">
        <f>IFERROR(Fuhrpark[[#This Row],[Wert 
(Zahl)]]*Fuhrpark[[#This Row],[Scope 1 Emissionsfaktor '[kg CO2e/Einheit']]],"")</f>
        <v/>
      </c>
      <c r="R128" s="100" t="str">
        <f>IFERROR(Fuhrpark[[#This Row],[Wert 
(Zahl)]]*Fuhrpark[[#This Row],[Scope 2 Emissionsfaktor '[kg CO2e/Einheit']]],"")</f>
        <v/>
      </c>
      <c r="S128" s="100" t="str">
        <f>IFERROR(Fuhrpark[[#This Row],[Wert 
(Zahl)]]*Fuhrpark[[#This Row],[Scope 3 Emissionsfaktor '[kg CO2e/Einheit']]],"")</f>
        <v/>
      </c>
    </row>
    <row r="129" spans="2:19" s="95" customFormat="1" ht="15" thickBot="1" x14ac:dyDescent="0.4">
      <c r="B129" s="408"/>
      <c r="C129" s="96" t="str">
        <f t="shared" si="3"/>
        <v>Fuhrpark</v>
      </c>
      <c r="D129" s="96"/>
      <c r="E129" s="96"/>
      <c r="F129" s="313"/>
      <c r="G129" s="96" t="str">
        <f>IFERROR(VLOOKUP(Fuhrpark[[#This Row],[Thema_Bezeichung]],Emissionsfaktoren!$C$9:$N$201,4,FALSE),"")</f>
        <v/>
      </c>
      <c r="H129" s="96"/>
      <c r="I129" s="96"/>
      <c r="J129" s="96"/>
      <c r="K129" s="315" t="str">
        <f>IF(ISBLANK(Fuhrpark[[#This Row],[Wert 
(Zahl)]]),"", SUM(Fuhrpark[[#This Row],[Scope 1 Ergebnis location-based '[kg CO2e']]:[Scope 3 Ergebnis location-based '[kg CO2e']]]))</f>
        <v/>
      </c>
      <c r="L129" s="167"/>
      <c r="M129" s="100" t="str">
        <f>IF(ISBLANK(Fuhrpark[[#This Row],[Emissionsquelle/Aktivität (Dropdown)]]),"",CONCATENATE(Fuhrpark[[#This Row],[Sektor_Thema]]," - ",Fuhrpark[[#This Row],[Emissionsquelle/Aktivität (Dropdown)]]))</f>
        <v/>
      </c>
      <c r="N129" s="100" t="str">
        <f>IFERROR(VLOOKUP(Fuhrpark[[#This Row],[Thema_Bezeichung]],EFs_Fuhrpark[],5,FALSE),"")</f>
        <v/>
      </c>
      <c r="O129" s="100" t="str">
        <f>IFERROR(VLOOKUP(Fuhrpark[[#This Row],[Thema_Bezeichung]],EFs_Fuhrpark[],6,FALSE),"")</f>
        <v/>
      </c>
      <c r="P129" s="100" t="str">
        <f>IFERROR(VLOOKUP(Fuhrpark[[#This Row],[Thema_Bezeichung]],EFs_Fuhrpark[],7,FALSE),"")</f>
        <v/>
      </c>
      <c r="Q129" s="100" t="str">
        <f>IFERROR(Fuhrpark[[#This Row],[Wert 
(Zahl)]]*Fuhrpark[[#This Row],[Scope 1 Emissionsfaktor '[kg CO2e/Einheit']]],"")</f>
        <v/>
      </c>
      <c r="R129" s="100" t="str">
        <f>IFERROR(Fuhrpark[[#This Row],[Wert 
(Zahl)]]*Fuhrpark[[#This Row],[Scope 2 Emissionsfaktor '[kg CO2e/Einheit']]],"")</f>
        <v/>
      </c>
      <c r="S129" s="100" t="str">
        <f>IFERROR(Fuhrpark[[#This Row],[Wert 
(Zahl)]]*Fuhrpark[[#This Row],[Scope 3 Emissionsfaktor '[kg CO2e/Einheit']]],"")</f>
        <v/>
      </c>
    </row>
    <row r="130" spans="2:19" s="2" customFormat="1" ht="15" thickTop="1" x14ac:dyDescent="0.35">
      <c r="B130" s="13"/>
      <c r="D130" s="2" t="s">
        <v>226</v>
      </c>
      <c r="K130" s="316">
        <f>SUBTOTAL(109,Fuhrpark[Ergebnis '[kg CO2e'] (vorausgefüllt)])</f>
        <v>0</v>
      </c>
      <c r="L130" s="170"/>
      <c r="Q130" s="2">
        <f>SUBTOTAL(109,Fuhrpark[Scope 1 Ergebnis location-based '[kg CO2e']])</f>
        <v>0</v>
      </c>
      <c r="R130" s="2">
        <f>SUBTOTAL(109,Fuhrpark[Scope 2 Ergebnis location-based '[kg CO2e']])</f>
        <v>0</v>
      </c>
      <c r="S130" s="2">
        <f>SUBTOTAL(109,Fuhrpark[Scope 3 Ergebnis location-based '[kg CO2e']])</f>
        <v>0</v>
      </c>
    </row>
    <row r="131" spans="2:19" ht="120" customHeight="1" x14ac:dyDescent="0.35">
      <c r="B131" s="197" t="s">
        <v>85</v>
      </c>
      <c r="C131" s="87"/>
      <c r="D131" s="87"/>
      <c r="E131" s="11"/>
      <c r="F131" s="11"/>
      <c r="G131" s="11"/>
      <c r="H131" s="11"/>
      <c r="I131" s="11"/>
      <c r="L131" s="169"/>
    </row>
    <row r="132" spans="2:19" x14ac:dyDescent="0.35">
      <c r="B132" s="135" t="s">
        <v>86</v>
      </c>
      <c r="L132" s="169"/>
    </row>
    <row r="133" spans="2:19" ht="18.5" x14ac:dyDescent="0.45">
      <c r="B133" s="134" t="s">
        <v>21</v>
      </c>
      <c r="L133" s="169"/>
    </row>
    <row r="134" spans="2:19" ht="109.5" customHeight="1" x14ac:dyDescent="0.35">
      <c r="B134" s="301" t="s">
        <v>93</v>
      </c>
      <c r="C134" s="302"/>
      <c r="D134" s="404" t="s">
        <v>400</v>
      </c>
      <c r="E134" s="404"/>
      <c r="F134" s="404"/>
      <c r="G134" s="404"/>
      <c r="H134" s="404"/>
      <c r="I134" s="405"/>
      <c r="L134" s="169"/>
    </row>
    <row r="135" spans="2:19" x14ac:dyDescent="0.35">
      <c r="C135" t="s">
        <v>21</v>
      </c>
      <c r="L135" s="169"/>
    </row>
    <row r="136" spans="2:19" ht="44" thickBot="1" x14ac:dyDescent="0.4">
      <c r="B136" s="10"/>
      <c r="C136" s="27" t="s">
        <v>51</v>
      </c>
      <c r="D136" s="27" t="s">
        <v>214</v>
      </c>
      <c r="E136" s="27" t="s">
        <v>71</v>
      </c>
      <c r="F136" s="27" t="s">
        <v>72</v>
      </c>
      <c r="G136" s="103" t="s">
        <v>84</v>
      </c>
      <c r="H136" s="27" t="s">
        <v>135</v>
      </c>
      <c r="I136" s="103" t="s">
        <v>80</v>
      </c>
      <c r="J136" s="103" t="s">
        <v>81</v>
      </c>
      <c r="K136" s="164" t="s">
        <v>243</v>
      </c>
      <c r="L136" s="171" t="s">
        <v>133</v>
      </c>
      <c r="M136" s="103" t="s">
        <v>241</v>
      </c>
      <c r="N136" s="103" t="s">
        <v>87</v>
      </c>
      <c r="O136" s="103" t="s">
        <v>89</v>
      </c>
      <c r="P136" s="103" t="s">
        <v>88</v>
      </c>
      <c r="Q136" s="103" t="s">
        <v>92</v>
      </c>
      <c r="R136" s="103" t="s">
        <v>91</v>
      </c>
      <c r="S136" s="103" t="s">
        <v>90</v>
      </c>
    </row>
    <row r="137" spans="2:19" s="95" customFormat="1" ht="15" thickTop="1" x14ac:dyDescent="0.35">
      <c r="B137" s="406" t="s">
        <v>21</v>
      </c>
      <c r="C137" s="10" t="str">
        <f t="shared" ref="C137:C156" si="4">$C$135</f>
        <v>Geschäftsreisen</v>
      </c>
      <c r="D137" s="96"/>
      <c r="E137" s="96"/>
      <c r="F137" s="313"/>
      <c r="G137" s="10" t="str">
        <f>IFERROR(VLOOKUP(Geschäftsreisen[[#This Row],[Thema_Bezeichung]],Emissionsfaktoren!$C$9:$N$201,4,FALSE),"")</f>
        <v/>
      </c>
      <c r="H137" s="96"/>
      <c r="I137" s="96"/>
      <c r="J137" s="96"/>
      <c r="K137" s="314" t="str">
        <f>IF(ISBLANK(Geschäftsreisen[[#This Row],[Wert 
(Zahl)]]),"", SUM(Geschäftsreisen[[#This Row],[Scope 1 Ergebnis location-based '[kg CO2e']]:[Scope 3 Ergebnis location-based '[kg CO2e']]]))</f>
        <v/>
      </c>
      <c r="L137" s="166"/>
      <c r="M137" s="15" t="str">
        <f>IF(ISBLANK(Geschäftsreisen[[#This Row],[Emissionsquelle/Aktivität (Dropdown)]]),"",CONCATENATE(Geschäftsreisen[[#This Row],[Sektor_Thema]]," - ",Geschäftsreisen[[#This Row],[Emissionsquelle/Aktivität (Dropdown)]]))</f>
        <v/>
      </c>
      <c r="N137" s="15" t="str">
        <f>IFERROR(VLOOKUP(Geschäftsreisen[[#This Row],[Thema_Bezeichung]],EFs_Geschäftsreisen[],5,FALSE),"")</f>
        <v/>
      </c>
      <c r="O137" s="15" t="str">
        <f>IFERROR(VLOOKUP(Geschäftsreisen[[#This Row],[Thema_Bezeichung]],EFs_Geschäftsreisen[],6,FALSE),"")</f>
        <v/>
      </c>
      <c r="P137" s="15" t="str">
        <f>IFERROR(VLOOKUP(Geschäftsreisen[[#This Row],[Thema_Bezeichung]],EFs_Geschäftsreisen[],7,FALSE),"")</f>
        <v/>
      </c>
      <c r="Q137" s="15" t="str">
        <f>IFERROR(Geschäftsreisen[[#This Row],[Wert 
(Zahl)]]*Geschäftsreisen[[#This Row],[Scope 1 Emissionsfaktor '[kg CO2e/Einheit']]],"")</f>
        <v/>
      </c>
      <c r="R137" s="15" t="str">
        <f>IFERROR(Geschäftsreisen[[#This Row],[Wert 
(Zahl)]]*Geschäftsreisen[[#This Row],[Scope 2 Emissionsfaktor '[kg CO2e/Einheit']]],"")</f>
        <v/>
      </c>
      <c r="S137" s="15" t="str">
        <f>IFERROR(Geschäftsreisen[[#This Row],[Wert 
(Zahl)]]*Geschäftsreisen[[#This Row],[Scope 3 Emissionsfaktor '[kg CO2e/Einheit']]],"")</f>
        <v/>
      </c>
    </row>
    <row r="138" spans="2:19" s="95" customFormat="1" x14ac:dyDescent="0.35">
      <c r="B138" s="407"/>
      <c r="C138" s="10" t="str">
        <f t="shared" si="4"/>
        <v>Geschäftsreisen</v>
      </c>
      <c r="D138" s="96"/>
      <c r="E138" s="96"/>
      <c r="F138" s="313"/>
      <c r="G138" s="10" t="str">
        <f>IFERROR(VLOOKUP(Geschäftsreisen[[#This Row],[Thema_Bezeichung]],Emissionsfaktoren!$C$9:$N$201,4,FALSE),"")</f>
        <v/>
      </c>
      <c r="H138" s="96"/>
      <c r="I138" s="96"/>
      <c r="J138" s="96"/>
      <c r="K138" s="314" t="str">
        <f>IF(ISBLANK(Geschäftsreisen[[#This Row],[Wert 
(Zahl)]]),"", SUM(Geschäftsreisen[[#This Row],[Scope 1 Ergebnis location-based '[kg CO2e']]:[Scope 3 Ergebnis location-based '[kg CO2e']]]))</f>
        <v/>
      </c>
      <c r="L138" s="166"/>
      <c r="M138" s="15" t="str">
        <f>IF(ISBLANK(Geschäftsreisen[[#This Row],[Emissionsquelle/Aktivität (Dropdown)]]),"",CONCATENATE(Geschäftsreisen[[#This Row],[Sektor_Thema]]," - ",Geschäftsreisen[[#This Row],[Emissionsquelle/Aktivität (Dropdown)]]))</f>
        <v/>
      </c>
      <c r="N138" s="15" t="str">
        <f>IFERROR(VLOOKUP(Geschäftsreisen[[#This Row],[Thema_Bezeichung]],EFs_Geschäftsreisen[],5,FALSE),"")</f>
        <v/>
      </c>
      <c r="O138" s="15" t="str">
        <f>IFERROR(VLOOKUP(Geschäftsreisen[[#This Row],[Thema_Bezeichung]],EFs_Geschäftsreisen[],6,FALSE),"")</f>
        <v/>
      </c>
      <c r="P138" s="15" t="str">
        <f>IFERROR(VLOOKUP(Geschäftsreisen[[#This Row],[Thema_Bezeichung]],EFs_Geschäftsreisen[],7,FALSE),"")</f>
        <v/>
      </c>
      <c r="Q138" s="15" t="str">
        <f>IFERROR(Geschäftsreisen[[#This Row],[Wert 
(Zahl)]]*Geschäftsreisen[[#This Row],[Scope 1 Emissionsfaktor '[kg CO2e/Einheit']]],"")</f>
        <v/>
      </c>
      <c r="R138" s="15" t="str">
        <f>IFERROR(Geschäftsreisen[[#This Row],[Wert 
(Zahl)]]*Geschäftsreisen[[#This Row],[Scope 2 Emissionsfaktor '[kg CO2e/Einheit']]],"")</f>
        <v/>
      </c>
      <c r="S138" s="15" t="str">
        <f>IFERROR(Geschäftsreisen[[#This Row],[Wert 
(Zahl)]]*Geschäftsreisen[[#This Row],[Scope 3 Emissionsfaktor '[kg CO2e/Einheit']]],"")</f>
        <v/>
      </c>
    </row>
    <row r="139" spans="2:19" s="95" customFormat="1" x14ac:dyDescent="0.35">
      <c r="B139" s="407"/>
      <c r="C139" s="10" t="str">
        <f t="shared" si="4"/>
        <v>Geschäftsreisen</v>
      </c>
      <c r="D139" s="96"/>
      <c r="E139" s="96"/>
      <c r="F139" s="313"/>
      <c r="G139" s="10" t="str">
        <f>IFERROR(VLOOKUP(Geschäftsreisen[[#This Row],[Thema_Bezeichung]],Emissionsfaktoren!$C$9:$N$201,4,FALSE),"")</f>
        <v/>
      </c>
      <c r="H139" s="96"/>
      <c r="I139" s="96"/>
      <c r="J139" s="96"/>
      <c r="K139" s="314" t="str">
        <f>IF(ISBLANK(Geschäftsreisen[[#This Row],[Wert 
(Zahl)]]),"", SUM(Geschäftsreisen[[#This Row],[Scope 1 Ergebnis location-based '[kg CO2e']]:[Scope 3 Ergebnis location-based '[kg CO2e']]]))</f>
        <v/>
      </c>
      <c r="L139" s="166"/>
      <c r="M139" s="15" t="str">
        <f>IF(ISBLANK(Geschäftsreisen[[#This Row],[Emissionsquelle/Aktivität (Dropdown)]]),"",CONCATENATE(Geschäftsreisen[[#This Row],[Sektor_Thema]]," - ",Geschäftsreisen[[#This Row],[Emissionsquelle/Aktivität (Dropdown)]]))</f>
        <v/>
      </c>
      <c r="N139" s="15" t="str">
        <f>IFERROR(VLOOKUP(Geschäftsreisen[[#This Row],[Thema_Bezeichung]],EFs_Geschäftsreisen[],5,FALSE),"")</f>
        <v/>
      </c>
      <c r="O139" s="15" t="str">
        <f>IFERROR(VLOOKUP(Geschäftsreisen[[#This Row],[Thema_Bezeichung]],EFs_Geschäftsreisen[],6,FALSE),"")</f>
        <v/>
      </c>
      <c r="P139" s="15" t="str">
        <f>IFERROR(VLOOKUP(Geschäftsreisen[[#This Row],[Thema_Bezeichung]],EFs_Geschäftsreisen[],7,FALSE),"")</f>
        <v/>
      </c>
      <c r="Q139" s="15" t="str">
        <f>IFERROR(Geschäftsreisen[[#This Row],[Wert 
(Zahl)]]*Geschäftsreisen[[#This Row],[Scope 1 Emissionsfaktor '[kg CO2e/Einheit']]],"")</f>
        <v/>
      </c>
      <c r="R139" s="15" t="str">
        <f>IFERROR(Geschäftsreisen[[#This Row],[Wert 
(Zahl)]]*Geschäftsreisen[[#This Row],[Scope 2 Emissionsfaktor '[kg CO2e/Einheit']]],"")</f>
        <v/>
      </c>
      <c r="S139" s="15" t="str">
        <f>IFERROR(Geschäftsreisen[[#This Row],[Wert 
(Zahl)]]*Geschäftsreisen[[#This Row],[Scope 3 Emissionsfaktor '[kg CO2e/Einheit']]],"")</f>
        <v/>
      </c>
    </row>
    <row r="140" spans="2:19" s="95" customFormat="1" x14ac:dyDescent="0.35">
      <c r="B140" s="407"/>
      <c r="C140" s="10" t="str">
        <f t="shared" si="4"/>
        <v>Geschäftsreisen</v>
      </c>
      <c r="D140" s="96"/>
      <c r="E140" s="96"/>
      <c r="F140" s="313"/>
      <c r="G140" s="10" t="str">
        <f>IFERROR(VLOOKUP(Geschäftsreisen[[#This Row],[Thema_Bezeichung]],Emissionsfaktoren!$C$9:$N$201,4,FALSE),"")</f>
        <v/>
      </c>
      <c r="H140" s="96"/>
      <c r="I140" s="96"/>
      <c r="J140" s="96"/>
      <c r="K140" s="314" t="str">
        <f>IF(ISBLANK(Geschäftsreisen[[#This Row],[Wert 
(Zahl)]]),"", SUM(Geschäftsreisen[[#This Row],[Scope 1 Ergebnis location-based '[kg CO2e']]:[Scope 3 Ergebnis location-based '[kg CO2e']]]))</f>
        <v/>
      </c>
      <c r="L140" s="166"/>
      <c r="M140" s="15" t="str">
        <f>IF(ISBLANK(Geschäftsreisen[[#This Row],[Emissionsquelle/Aktivität (Dropdown)]]),"",CONCATENATE(Geschäftsreisen[[#This Row],[Sektor_Thema]]," - ",Geschäftsreisen[[#This Row],[Emissionsquelle/Aktivität (Dropdown)]]))</f>
        <v/>
      </c>
      <c r="N140" s="15" t="str">
        <f>IFERROR(VLOOKUP(Geschäftsreisen[[#This Row],[Thema_Bezeichung]],EFs_Geschäftsreisen[],5,FALSE),"")</f>
        <v/>
      </c>
      <c r="O140" s="15" t="str">
        <f>IFERROR(VLOOKUP(Geschäftsreisen[[#This Row],[Thema_Bezeichung]],EFs_Geschäftsreisen[],6,FALSE),"")</f>
        <v/>
      </c>
      <c r="P140" s="15" t="str">
        <f>IFERROR(VLOOKUP(Geschäftsreisen[[#This Row],[Thema_Bezeichung]],EFs_Geschäftsreisen[],7,FALSE),"")</f>
        <v/>
      </c>
      <c r="Q140" s="15" t="str">
        <f>IFERROR(Geschäftsreisen[[#This Row],[Wert 
(Zahl)]]*Geschäftsreisen[[#This Row],[Scope 1 Emissionsfaktor '[kg CO2e/Einheit']]],"")</f>
        <v/>
      </c>
      <c r="R140" s="15" t="str">
        <f>IFERROR(Geschäftsreisen[[#This Row],[Wert 
(Zahl)]]*Geschäftsreisen[[#This Row],[Scope 2 Emissionsfaktor '[kg CO2e/Einheit']]],"")</f>
        <v/>
      </c>
      <c r="S140" s="15" t="str">
        <f>IFERROR(Geschäftsreisen[[#This Row],[Wert 
(Zahl)]]*Geschäftsreisen[[#This Row],[Scope 3 Emissionsfaktor '[kg CO2e/Einheit']]],"")</f>
        <v/>
      </c>
    </row>
    <row r="141" spans="2:19" s="95" customFormat="1" x14ac:dyDescent="0.35">
      <c r="B141" s="407"/>
      <c r="C141" s="10" t="str">
        <f t="shared" si="4"/>
        <v>Geschäftsreisen</v>
      </c>
      <c r="D141" s="96"/>
      <c r="E141" s="96"/>
      <c r="F141" s="313"/>
      <c r="G141" s="10" t="str">
        <f>IFERROR(VLOOKUP(Geschäftsreisen[[#This Row],[Thema_Bezeichung]],Emissionsfaktoren!$C$9:$N$201,4,FALSE),"")</f>
        <v/>
      </c>
      <c r="H141" s="96"/>
      <c r="I141" s="96"/>
      <c r="J141" s="96"/>
      <c r="K141" s="314" t="str">
        <f>IF(ISBLANK(Geschäftsreisen[[#This Row],[Wert 
(Zahl)]]),"", SUM(Geschäftsreisen[[#This Row],[Scope 1 Ergebnis location-based '[kg CO2e']]:[Scope 3 Ergebnis location-based '[kg CO2e']]]))</f>
        <v/>
      </c>
      <c r="L141" s="166"/>
      <c r="M141" s="15" t="str">
        <f>IF(ISBLANK(Geschäftsreisen[[#This Row],[Emissionsquelle/Aktivität (Dropdown)]]),"",CONCATENATE(Geschäftsreisen[[#This Row],[Sektor_Thema]]," - ",Geschäftsreisen[[#This Row],[Emissionsquelle/Aktivität (Dropdown)]]))</f>
        <v/>
      </c>
      <c r="N141" s="15" t="str">
        <f>IFERROR(VLOOKUP(Geschäftsreisen[[#This Row],[Thema_Bezeichung]],EFs_Geschäftsreisen[],5,FALSE),"")</f>
        <v/>
      </c>
      <c r="O141" s="15" t="str">
        <f>IFERROR(VLOOKUP(Geschäftsreisen[[#This Row],[Thema_Bezeichung]],EFs_Geschäftsreisen[],6,FALSE),"")</f>
        <v/>
      </c>
      <c r="P141" s="15" t="str">
        <f>IFERROR(VLOOKUP(Geschäftsreisen[[#This Row],[Thema_Bezeichung]],EFs_Geschäftsreisen[],7,FALSE),"")</f>
        <v/>
      </c>
      <c r="Q141" s="15" t="str">
        <f>IFERROR(Geschäftsreisen[[#This Row],[Wert 
(Zahl)]]*Geschäftsreisen[[#This Row],[Scope 1 Emissionsfaktor '[kg CO2e/Einheit']]],"")</f>
        <v/>
      </c>
      <c r="R141" s="15" t="str">
        <f>IFERROR(Geschäftsreisen[[#This Row],[Wert 
(Zahl)]]*Geschäftsreisen[[#This Row],[Scope 2 Emissionsfaktor '[kg CO2e/Einheit']]],"")</f>
        <v/>
      </c>
      <c r="S141" s="15" t="str">
        <f>IFERROR(Geschäftsreisen[[#This Row],[Wert 
(Zahl)]]*Geschäftsreisen[[#This Row],[Scope 3 Emissionsfaktor '[kg CO2e/Einheit']]],"")</f>
        <v/>
      </c>
    </row>
    <row r="142" spans="2:19" s="95" customFormat="1" x14ac:dyDescent="0.35">
      <c r="B142" s="407"/>
      <c r="C142" s="10" t="str">
        <f t="shared" si="4"/>
        <v>Geschäftsreisen</v>
      </c>
      <c r="D142" s="96"/>
      <c r="E142" s="96"/>
      <c r="F142" s="313"/>
      <c r="G142" s="10" t="str">
        <f>IFERROR(VLOOKUP(Geschäftsreisen[[#This Row],[Thema_Bezeichung]],Emissionsfaktoren!$C$9:$N$201,4,FALSE),"")</f>
        <v/>
      </c>
      <c r="H142" s="96"/>
      <c r="I142" s="96"/>
      <c r="J142" s="96"/>
      <c r="K142" s="314" t="str">
        <f>IF(ISBLANK(Geschäftsreisen[[#This Row],[Wert 
(Zahl)]]),"", SUM(Geschäftsreisen[[#This Row],[Scope 1 Ergebnis location-based '[kg CO2e']]:[Scope 3 Ergebnis location-based '[kg CO2e']]]))</f>
        <v/>
      </c>
      <c r="L142" s="166"/>
      <c r="M142" s="15" t="str">
        <f>IF(ISBLANK(Geschäftsreisen[[#This Row],[Emissionsquelle/Aktivität (Dropdown)]]),"",CONCATENATE(Geschäftsreisen[[#This Row],[Sektor_Thema]]," - ",Geschäftsreisen[[#This Row],[Emissionsquelle/Aktivität (Dropdown)]]))</f>
        <v/>
      </c>
      <c r="N142" s="15" t="str">
        <f>IFERROR(VLOOKUP(Geschäftsreisen[[#This Row],[Thema_Bezeichung]],EFs_Geschäftsreisen[],5,FALSE),"")</f>
        <v/>
      </c>
      <c r="O142" s="15" t="str">
        <f>IFERROR(VLOOKUP(Geschäftsreisen[[#This Row],[Thema_Bezeichung]],EFs_Geschäftsreisen[],6,FALSE),"")</f>
        <v/>
      </c>
      <c r="P142" s="15" t="str">
        <f>IFERROR(VLOOKUP(Geschäftsreisen[[#This Row],[Thema_Bezeichung]],EFs_Geschäftsreisen[],7,FALSE),"")</f>
        <v/>
      </c>
      <c r="Q142" s="15" t="str">
        <f>IFERROR(Geschäftsreisen[[#This Row],[Wert 
(Zahl)]]*Geschäftsreisen[[#This Row],[Scope 1 Emissionsfaktor '[kg CO2e/Einheit']]],"")</f>
        <v/>
      </c>
      <c r="R142" s="15" t="str">
        <f>IFERROR(Geschäftsreisen[[#This Row],[Wert 
(Zahl)]]*Geschäftsreisen[[#This Row],[Scope 2 Emissionsfaktor '[kg CO2e/Einheit']]],"")</f>
        <v/>
      </c>
      <c r="S142" s="15" t="str">
        <f>IFERROR(Geschäftsreisen[[#This Row],[Wert 
(Zahl)]]*Geschäftsreisen[[#This Row],[Scope 3 Emissionsfaktor '[kg CO2e/Einheit']]],"")</f>
        <v/>
      </c>
    </row>
    <row r="143" spans="2:19" s="95" customFormat="1" x14ac:dyDescent="0.35">
      <c r="B143" s="407"/>
      <c r="C143" s="10" t="str">
        <f t="shared" si="4"/>
        <v>Geschäftsreisen</v>
      </c>
      <c r="D143" s="96"/>
      <c r="E143" s="96"/>
      <c r="F143" s="313"/>
      <c r="G143" s="10" t="str">
        <f>IFERROR(VLOOKUP(Geschäftsreisen[[#This Row],[Thema_Bezeichung]],Emissionsfaktoren!$C$9:$N$201,4,FALSE),"")</f>
        <v/>
      </c>
      <c r="H143" s="96"/>
      <c r="I143" s="96"/>
      <c r="J143" s="96"/>
      <c r="K143" s="314" t="str">
        <f>IF(ISBLANK(Geschäftsreisen[[#This Row],[Wert 
(Zahl)]]),"", SUM(Geschäftsreisen[[#This Row],[Scope 1 Ergebnis location-based '[kg CO2e']]:[Scope 3 Ergebnis location-based '[kg CO2e']]]))</f>
        <v/>
      </c>
      <c r="L143" s="166"/>
      <c r="M143" s="15" t="str">
        <f>IF(ISBLANK(Geschäftsreisen[[#This Row],[Emissionsquelle/Aktivität (Dropdown)]]),"",CONCATENATE(Geschäftsreisen[[#This Row],[Sektor_Thema]]," - ",Geschäftsreisen[[#This Row],[Emissionsquelle/Aktivität (Dropdown)]]))</f>
        <v/>
      </c>
      <c r="N143" s="15" t="str">
        <f>IFERROR(VLOOKUP(Geschäftsreisen[[#This Row],[Thema_Bezeichung]],EFs_Geschäftsreisen[],5,FALSE),"")</f>
        <v/>
      </c>
      <c r="O143" s="15" t="str">
        <f>IFERROR(VLOOKUP(Geschäftsreisen[[#This Row],[Thema_Bezeichung]],EFs_Geschäftsreisen[],6,FALSE),"")</f>
        <v/>
      </c>
      <c r="P143" s="15" t="str">
        <f>IFERROR(VLOOKUP(Geschäftsreisen[[#This Row],[Thema_Bezeichung]],EFs_Geschäftsreisen[],7,FALSE),"")</f>
        <v/>
      </c>
      <c r="Q143" s="15" t="str">
        <f>IFERROR(Geschäftsreisen[[#This Row],[Wert 
(Zahl)]]*Geschäftsreisen[[#This Row],[Scope 1 Emissionsfaktor '[kg CO2e/Einheit']]],"")</f>
        <v/>
      </c>
      <c r="R143" s="15" t="str">
        <f>IFERROR(Geschäftsreisen[[#This Row],[Wert 
(Zahl)]]*Geschäftsreisen[[#This Row],[Scope 2 Emissionsfaktor '[kg CO2e/Einheit']]],"")</f>
        <v/>
      </c>
      <c r="S143" s="15" t="str">
        <f>IFERROR(Geschäftsreisen[[#This Row],[Wert 
(Zahl)]]*Geschäftsreisen[[#This Row],[Scope 3 Emissionsfaktor '[kg CO2e/Einheit']]],"")</f>
        <v/>
      </c>
    </row>
    <row r="144" spans="2:19" s="95" customFormat="1" x14ac:dyDescent="0.35">
      <c r="B144" s="407"/>
      <c r="C144" s="10" t="str">
        <f t="shared" si="4"/>
        <v>Geschäftsreisen</v>
      </c>
      <c r="D144" s="96"/>
      <c r="E144" s="96"/>
      <c r="F144" s="313"/>
      <c r="G144" s="10" t="str">
        <f>IFERROR(VLOOKUP(Geschäftsreisen[[#This Row],[Thema_Bezeichung]],Emissionsfaktoren!$C$9:$N$201,4,FALSE),"")</f>
        <v/>
      </c>
      <c r="H144" s="96"/>
      <c r="I144" s="96"/>
      <c r="J144" s="96"/>
      <c r="K144" s="314" t="str">
        <f>IF(ISBLANK(Geschäftsreisen[[#This Row],[Wert 
(Zahl)]]),"", SUM(Geschäftsreisen[[#This Row],[Scope 1 Ergebnis location-based '[kg CO2e']]:[Scope 3 Ergebnis location-based '[kg CO2e']]]))</f>
        <v/>
      </c>
      <c r="L144" s="166"/>
      <c r="M144" s="15" t="str">
        <f>IF(ISBLANK(Geschäftsreisen[[#This Row],[Emissionsquelle/Aktivität (Dropdown)]]),"",CONCATENATE(Geschäftsreisen[[#This Row],[Sektor_Thema]]," - ",Geschäftsreisen[[#This Row],[Emissionsquelle/Aktivität (Dropdown)]]))</f>
        <v/>
      </c>
      <c r="N144" s="15" t="str">
        <f>IFERROR(VLOOKUP(Geschäftsreisen[[#This Row],[Thema_Bezeichung]],EFs_Geschäftsreisen[],5,FALSE),"")</f>
        <v/>
      </c>
      <c r="O144" s="15" t="str">
        <f>IFERROR(VLOOKUP(Geschäftsreisen[[#This Row],[Thema_Bezeichung]],EFs_Geschäftsreisen[],6,FALSE),"")</f>
        <v/>
      </c>
      <c r="P144" s="15" t="str">
        <f>IFERROR(VLOOKUP(Geschäftsreisen[[#This Row],[Thema_Bezeichung]],EFs_Geschäftsreisen[],7,FALSE),"")</f>
        <v/>
      </c>
      <c r="Q144" s="15" t="str">
        <f>IFERROR(Geschäftsreisen[[#This Row],[Wert 
(Zahl)]]*Geschäftsreisen[[#This Row],[Scope 1 Emissionsfaktor '[kg CO2e/Einheit']]],"")</f>
        <v/>
      </c>
      <c r="R144" s="15" t="str">
        <f>IFERROR(Geschäftsreisen[[#This Row],[Wert 
(Zahl)]]*Geschäftsreisen[[#This Row],[Scope 2 Emissionsfaktor '[kg CO2e/Einheit']]],"")</f>
        <v/>
      </c>
      <c r="S144" s="15" t="str">
        <f>IFERROR(Geschäftsreisen[[#This Row],[Wert 
(Zahl)]]*Geschäftsreisen[[#This Row],[Scope 3 Emissionsfaktor '[kg CO2e/Einheit']]],"")</f>
        <v/>
      </c>
    </row>
    <row r="145" spans="2:19" s="95" customFormat="1" x14ac:dyDescent="0.35">
      <c r="B145" s="407"/>
      <c r="C145" s="10" t="str">
        <f t="shared" si="4"/>
        <v>Geschäftsreisen</v>
      </c>
      <c r="D145" s="96"/>
      <c r="E145" s="96"/>
      <c r="F145" s="313"/>
      <c r="G145" s="10" t="str">
        <f>IFERROR(VLOOKUP(Geschäftsreisen[[#This Row],[Thema_Bezeichung]],Emissionsfaktoren!$C$9:$N$201,4,FALSE),"")</f>
        <v/>
      </c>
      <c r="H145" s="96"/>
      <c r="I145" s="96"/>
      <c r="J145" s="96"/>
      <c r="K145" s="314" t="str">
        <f>IF(ISBLANK(Geschäftsreisen[[#This Row],[Wert 
(Zahl)]]),"", SUM(Geschäftsreisen[[#This Row],[Scope 1 Ergebnis location-based '[kg CO2e']]:[Scope 3 Ergebnis location-based '[kg CO2e']]]))</f>
        <v/>
      </c>
      <c r="L145" s="166"/>
      <c r="M145" s="15" t="str">
        <f>IF(ISBLANK(Geschäftsreisen[[#This Row],[Emissionsquelle/Aktivität (Dropdown)]]),"",CONCATENATE(Geschäftsreisen[[#This Row],[Sektor_Thema]]," - ",Geschäftsreisen[[#This Row],[Emissionsquelle/Aktivität (Dropdown)]]))</f>
        <v/>
      </c>
      <c r="N145" s="15" t="str">
        <f>IFERROR(VLOOKUP(Geschäftsreisen[[#This Row],[Thema_Bezeichung]],EFs_Geschäftsreisen[],5,FALSE),"")</f>
        <v/>
      </c>
      <c r="O145" s="15" t="str">
        <f>IFERROR(VLOOKUP(Geschäftsreisen[[#This Row],[Thema_Bezeichung]],EFs_Geschäftsreisen[],6,FALSE),"")</f>
        <v/>
      </c>
      <c r="P145" s="15" t="str">
        <f>IFERROR(VLOOKUP(Geschäftsreisen[[#This Row],[Thema_Bezeichung]],EFs_Geschäftsreisen[],7,FALSE),"")</f>
        <v/>
      </c>
      <c r="Q145" s="15" t="str">
        <f>IFERROR(Geschäftsreisen[[#This Row],[Wert 
(Zahl)]]*Geschäftsreisen[[#This Row],[Scope 1 Emissionsfaktor '[kg CO2e/Einheit']]],"")</f>
        <v/>
      </c>
      <c r="R145" s="15" t="str">
        <f>IFERROR(Geschäftsreisen[[#This Row],[Wert 
(Zahl)]]*Geschäftsreisen[[#This Row],[Scope 2 Emissionsfaktor '[kg CO2e/Einheit']]],"")</f>
        <v/>
      </c>
      <c r="S145" s="15" t="str">
        <f>IFERROR(Geschäftsreisen[[#This Row],[Wert 
(Zahl)]]*Geschäftsreisen[[#This Row],[Scope 3 Emissionsfaktor '[kg CO2e/Einheit']]],"")</f>
        <v/>
      </c>
    </row>
    <row r="146" spans="2:19" s="95" customFormat="1" x14ac:dyDescent="0.35">
      <c r="B146" s="407"/>
      <c r="C146" s="10" t="str">
        <f t="shared" si="4"/>
        <v>Geschäftsreisen</v>
      </c>
      <c r="D146" s="96"/>
      <c r="E146" s="96"/>
      <c r="F146" s="313"/>
      <c r="G146" s="10" t="str">
        <f>IFERROR(VLOOKUP(Geschäftsreisen[[#This Row],[Thema_Bezeichung]],Emissionsfaktoren!$C$9:$N$201,4,FALSE),"")</f>
        <v/>
      </c>
      <c r="H146" s="96"/>
      <c r="I146" s="96"/>
      <c r="J146" s="96"/>
      <c r="K146" s="314" t="str">
        <f>IF(ISBLANK(Geschäftsreisen[[#This Row],[Wert 
(Zahl)]]),"", SUM(Geschäftsreisen[[#This Row],[Scope 1 Ergebnis location-based '[kg CO2e']]:[Scope 3 Ergebnis location-based '[kg CO2e']]]))</f>
        <v/>
      </c>
      <c r="L146" s="166"/>
      <c r="M146" s="15" t="str">
        <f>IF(ISBLANK(Geschäftsreisen[[#This Row],[Emissionsquelle/Aktivität (Dropdown)]]),"",CONCATENATE(Geschäftsreisen[[#This Row],[Sektor_Thema]]," - ",Geschäftsreisen[[#This Row],[Emissionsquelle/Aktivität (Dropdown)]]))</f>
        <v/>
      </c>
      <c r="N146" s="15" t="str">
        <f>IFERROR(VLOOKUP(Geschäftsreisen[[#This Row],[Thema_Bezeichung]],EFs_Geschäftsreisen[],5,FALSE),"")</f>
        <v/>
      </c>
      <c r="O146" s="15" t="str">
        <f>IFERROR(VLOOKUP(Geschäftsreisen[[#This Row],[Thema_Bezeichung]],EFs_Geschäftsreisen[],6,FALSE),"")</f>
        <v/>
      </c>
      <c r="P146" s="15" t="str">
        <f>IFERROR(VLOOKUP(Geschäftsreisen[[#This Row],[Thema_Bezeichung]],EFs_Geschäftsreisen[],7,FALSE),"")</f>
        <v/>
      </c>
      <c r="Q146" s="15" t="str">
        <f>IFERROR(Geschäftsreisen[[#This Row],[Wert 
(Zahl)]]*Geschäftsreisen[[#This Row],[Scope 1 Emissionsfaktor '[kg CO2e/Einheit']]],"")</f>
        <v/>
      </c>
      <c r="R146" s="15" t="str">
        <f>IFERROR(Geschäftsreisen[[#This Row],[Wert 
(Zahl)]]*Geschäftsreisen[[#This Row],[Scope 2 Emissionsfaktor '[kg CO2e/Einheit']]],"")</f>
        <v/>
      </c>
      <c r="S146" s="15" t="str">
        <f>IFERROR(Geschäftsreisen[[#This Row],[Wert 
(Zahl)]]*Geschäftsreisen[[#This Row],[Scope 3 Emissionsfaktor '[kg CO2e/Einheit']]],"")</f>
        <v/>
      </c>
    </row>
    <row r="147" spans="2:19" s="95" customFormat="1" x14ac:dyDescent="0.35">
      <c r="B147" s="407"/>
      <c r="C147" s="10" t="str">
        <f t="shared" si="4"/>
        <v>Geschäftsreisen</v>
      </c>
      <c r="D147" s="96"/>
      <c r="E147" s="96"/>
      <c r="F147" s="313"/>
      <c r="G147" s="10" t="str">
        <f>IFERROR(VLOOKUP(Geschäftsreisen[[#This Row],[Thema_Bezeichung]],Emissionsfaktoren!$C$9:$N$201,4,FALSE),"")</f>
        <v/>
      </c>
      <c r="H147" s="96"/>
      <c r="I147" s="96"/>
      <c r="J147" s="96"/>
      <c r="K147" s="314" t="str">
        <f>IF(ISBLANK(Geschäftsreisen[[#This Row],[Wert 
(Zahl)]]),"", SUM(Geschäftsreisen[[#This Row],[Scope 1 Ergebnis location-based '[kg CO2e']]:[Scope 3 Ergebnis location-based '[kg CO2e']]]))</f>
        <v/>
      </c>
      <c r="L147" s="166"/>
      <c r="M147" s="15" t="str">
        <f>IF(ISBLANK(Geschäftsreisen[[#This Row],[Emissionsquelle/Aktivität (Dropdown)]]),"",CONCATENATE(Geschäftsreisen[[#This Row],[Sektor_Thema]]," - ",Geschäftsreisen[[#This Row],[Emissionsquelle/Aktivität (Dropdown)]]))</f>
        <v/>
      </c>
      <c r="N147" s="15" t="str">
        <f>IFERROR(VLOOKUP(Geschäftsreisen[[#This Row],[Thema_Bezeichung]],EFs_Geschäftsreisen[],5,FALSE),"")</f>
        <v/>
      </c>
      <c r="O147" s="15" t="str">
        <f>IFERROR(VLOOKUP(Geschäftsreisen[[#This Row],[Thema_Bezeichung]],EFs_Geschäftsreisen[],6,FALSE),"")</f>
        <v/>
      </c>
      <c r="P147" s="15" t="str">
        <f>IFERROR(VLOOKUP(Geschäftsreisen[[#This Row],[Thema_Bezeichung]],EFs_Geschäftsreisen[],7,FALSE),"")</f>
        <v/>
      </c>
      <c r="Q147" s="15" t="str">
        <f>IFERROR(Geschäftsreisen[[#This Row],[Wert 
(Zahl)]]*Geschäftsreisen[[#This Row],[Scope 1 Emissionsfaktor '[kg CO2e/Einheit']]],"")</f>
        <v/>
      </c>
      <c r="R147" s="15" t="str">
        <f>IFERROR(Geschäftsreisen[[#This Row],[Wert 
(Zahl)]]*Geschäftsreisen[[#This Row],[Scope 2 Emissionsfaktor '[kg CO2e/Einheit']]],"")</f>
        <v/>
      </c>
      <c r="S147" s="15" t="str">
        <f>IFERROR(Geschäftsreisen[[#This Row],[Wert 
(Zahl)]]*Geschäftsreisen[[#This Row],[Scope 3 Emissionsfaktor '[kg CO2e/Einheit']]],"")</f>
        <v/>
      </c>
    </row>
    <row r="148" spans="2:19" s="95" customFormat="1" x14ac:dyDescent="0.35">
      <c r="B148" s="407"/>
      <c r="C148" s="10" t="str">
        <f t="shared" si="4"/>
        <v>Geschäftsreisen</v>
      </c>
      <c r="D148" s="96"/>
      <c r="E148" s="96"/>
      <c r="F148" s="313"/>
      <c r="G148" s="10" t="str">
        <f>IFERROR(VLOOKUP(Geschäftsreisen[[#This Row],[Thema_Bezeichung]],Emissionsfaktoren!$C$9:$N$201,4,FALSE),"")</f>
        <v/>
      </c>
      <c r="H148" s="96"/>
      <c r="I148" s="96"/>
      <c r="J148" s="96"/>
      <c r="K148" s="314" t="str">
        <f>IF(ISBLANK(Geschäftsreisen[[#This Row],[Wert 
(Zahl)]]),"", SUM(Geschäftsreisen[[#This Row],[Scope 1 Ergebnis location-based '[kg CO2e']]:[Scope 3 Ergebnis location-based '[kg CO2e']]]))</f>
        <v/>
      </c>
      <c r="L148" s="166"/>
      <c r="M148" s="15" t="str">
        <f>IF(ISBLANK(Geschäftsreisen[[#This Row],[Emissionsquelle/Aktivität (Dropdown)]]),"",CONCATENATE(Geschäftsreisen[[#This Row],[Sektor_Thema]]," - ",Geschäftsreisen[[#This Row],[Emissionsquelle/Aktivität (Dropdown)]]))</f>
        <v/>
      </c>
      <c r="N148" s="15" t="str">
        <f>IFERROR(VLOOKUP(Geschäftsreisen[[#This Row],[Thema_Bezeichung]],EFs_Geschäftsreisen[],5,FALSE),"")</f>
        <v/>
      </c>
      <c r="O148" s="15" t="str">
        <f>IFERROR(VLOOKUP(Geschäftsreisen[[#This Row],[Thema_Bezeichung]],EFs_Geschäftsreisen[],6,FALSE),"")</f>
        <v/>
      </c>
      <c r="P148" s="15" t="str">
        <f>IFERROR(VLOOKUP(Geschäftsreisen[[#This Row],[Thema_Bezeichung]],EFs_Geschäftsreisen[],7,FALSE),"")</f>
        <v/>
      </c>
      <c r="Q148" s="15" t="str">
        <f>IFERROR(Geschäftsreisen[[#This Row],[Wert 
(Zahl)]]*Geschäftsreisen[[#This Row],[Scope 1 Emissionsfaktor '[kg CO2e/Einheit']]],"")</f>
        <v/>
      </c>
      <c r="R148" s="15" t="str">
        <f>IFERROR(Geschäftsreisen[[#This Row],[Wert 
(Zahl)]]*Geschäftsreisen[[#This Row],[Scope 2 Emissionsfaktor '[kg CO2e/Einheit']]],"")</f>
        <v/>
      </c>
      <c r="S148" s="15" t="str">
        <f>IFERROR(Geschäftsreisen[[#This Row],[Wert 
(Zahl)]]*Geschäftsreisen[[#This Row],[Scope 3 Emissionsfaktor '[kg CO2e/Einheit']]],"")</f>
        <v/>
      </c>
    </row>
    <row r="149" spans="2:19" s="95" customFormat="1" x14ac:dyDescent="0.35">
      <c r="B149" s="407"/>
      <c r="C149" s="10" t="str">
        <f t="shared" si="4"/>
        <v>Geschäftsreisen</v>
      </c>
      <c r="D149" s="96"/>
      <c r="E149" s="96"/>
      <c r="F149" s="313"/>
      <c r="G149" s="10" t="str">
        <f>IFERROR(VLOOKUP(Geschäftsreisen[[#This Row],[Thema_Bezeichung]],Emissionsfaktoren!$C$9:$N$201,4,FALSE),"")</f>
        <v/>
      </c>
      <c r="H149" s="96"/>
      <c r="I149" s="96"/>
      <c r="J149" s="96"/>
      <c r="K149" s="314" t="str">
        <f>IF(ISBLANK(Geschäftsreisen[[#This Row],[Wert 
(Zahl)]]),"", SUM(Geschäftsreisen[[#This Row],[Scope 1 Ergebnis location-based '[kg CO2e']]:[Scope 3 Ergebnis location-based '[kg CO2e']]]))</f>
        <v/>
      </c>
      <c r="L149" s="166"/>
      <c r="M149" s="15" t="str">
        <f>IF(ISBLANK(Geschäftsreisen[[#This Row],[Emissionsquelle/Aktivität (Dropdown)]]),"",CONCATENATE(Geschäftsreisen[[#This Row],[Sektor_Thema]]," - ",Geschäftsreisen[[#This Row],[Emissionsquelle/Aktivität (Dropdown)]]))</f>
        <v/>
      </c>
      <c r="N149" s="15" t="str">
        <f>IFERROR(VLOOKUP(Geschäftsreisen[[#This Row],[Thema_Bezeichung]],EFs_Geschäftsreisen[],5,FALSE),"")</f>
        <v/>
      </c>
      <c r="O149" s="15" t="str">
        <f>IFERROR(VLOOKUP(Geschäftsreisen[[#This Row],[Thema_Bezeichung]],EFs_Geschäftsreisen[],6,FALSE),"")</f>
        <v/>
      </c>
      <c r="P149" s="15" t="str">
        <f>IFERROR(VLOOKUP(Geschäftsreisen[[#This Row],[Thema_Bezeichung]],EFs_Geschäftsreisen[],7,FALSE),"")</f>
        <v/>
      </c>
      <c r="Q149" s="15" t="str">
        <f>IFERROR(Geschäftsreisen[[#This Row],[Wert 
(Zahl)]]*Geschäftsreisen[[#This Row],[Scope 1 Emissionsfaktor '[kg CO2e/Einheit']]],"")</f>
        <v/>
      </c>
      <c r="R149" s="15" t="str">
        <f>IFERROR(Geschäftsreisen[[#This Row],[Wert 
(Zahl)]]*Geschäftsreisen[[#This Row],[Scope 2 Emissionsfaktor '[kg CO2e/Einheit']]],"")</f>
        <v/>
      </c>
      <c r="S149" s="15" t="str">
        <f>IFERROR(Geschäftsreisen[[#This Row],[Wert 
(Zahl)]]*Geschäftsreisen[[#This Row],[Scope 3 Emissionsfaktor '[kg CO2e/Einheit']]],"")</f>
        <v/>
      </c>
    </row>
    <row r="150" spans="2:19" s="95" customFormat="1" x14ac:dyDescent="0.35">
      <c r="B150" s="407"/>
      <c r="C150" s="10" t="str">
        <f t="shared" si="4"/>
        <v>Geschäftsreisen</v>
      </c>
      <c r="D150" s="96"/>
      <c r="E150" s="96"/>
      <c r="F150" s="313"/>
      <c r="G150" s="10" t="str">
        <f>IFERROR(VLOOKUP(Geschäftsreisen[[#This Row],[Thema_Bezeichung]],Emissionsfaktoren!$C$9:$N$201,4,FALSE),"")</f>
        <v/>
      </c>
      <c r="H150" s="96"/>
      <c r="I150" s="96"/>
      <c r="J150" s="96"/>
      <c r="K150" s="314" t="str">
        <f>IF(ISBLANK(Geschäftsreisen[[#This Row],[Wert 
(Zahl)]]),"", SUM(Geschäftsreisen[[#This Row],[Scope 1 Ergebnis location-based '[kg CO2e']]:[Scope 3 Ergebnis location-based '[kg CO2e']]]))</f>
        <v/>
      </c>
      <c r="L150" s="166"/>
      <c r="M150" s="15" t="str">
        <f>IF(ISBLANK(Geschäftsreisen[[#This Row],[Emissionsquelle/Aktivität (Dropdown)]]),"",CONCATENATE(Geschäftsreisen[[#This Row],[Sektor_Thema]]," - ",Geschäftsreisen[[#This Row],[Emissionsquelle/Aktivität (Dropdown)]]))</f>
        <v/>
      </c>
      <c r="N150" s="15" t="str">
        <f>IFERROR(VLOOKUP(Geschäftsreisen[[#This Row],[Thema_Bezeichung]],EFs_Geschäftsreisen[],5,FALSE),"")</f>
        <v/>
      </c>
      <c r="O150" s="15" t="str">
        <f>IFERROR(VLOOKUP(Geschäftsreisen[[#This Row],[Thema_Bezeichung]],EFs_Geschäftsreisen[],6,FALSE),"")</f>
        <v/>
      </c>
      <c r="P150" s="15" t="str">
        <f>IFERROR(VLOOKUP(Geschäftsreisen[[#This Row],[Thema_Bezeichung]],EFs_Geschäftsreisen[],7,FALSE),"")</f>
        <v/>
      </c>
      <c r="Q150" s="15" t="str">
        <f>IFERROR(Geschäftsreisen[[#This Row],[Wert 
(Zahl)]]*Geschäftsreisen[[#This Row],[Scope 1 Emissionsfaktor '[kg CO2e/Einheit']]],"")</f>
        <v/>
      </c>
      <c r="R150" s="15" t="str">
        <f>IFERROR(Geschäftsreisen[[#This Row],[Wert 
(Zahl)]]*Geschäftsreisen[[#This Row],[Scope 2 Emissionsfaktor '[kg CO2e/Einheit']]],"")</f>
        <v/>
      </c>
      <c r="S150" s="15" t="str">
        <f>IFERROR(Geschäftsreisen[[#This Row],[Wert 
(Zahl)]]*Geschäftsreisen[[#This Row],[Scope 3 Emissionsfaktor '[kg CO2e/Einheit']]],"")</f>
        <v/>
      </c>
    </row>
    <row r="151" spans="2:19" s="95" customFormat="1" x14ac:dyDescent="0.35">
      <c r="B151" s="407"/>
      <c r="C151" s="10" t="str">
        <f t="shared" si="4"/>
        <v>Geschäftsreisen</v>
      </c>
      <c r="D151" s="96"/>
      <c r="E151" s="96"/>
      <c r="F151" s="313"/>
      <c r="G151" s="10" t="str">
        <f>IFERROR(VLOOKUP(Geschäftsreisen[[#This Row],[Thema_Bezeichung]],Emissionsfaktoren!$C$9:$N$201,4,FALSE),"")</f>
        <v/>
      </c>
      <c r="H151" s="96"/>
      <c r="I151" s="96"/>
      <c r="J151" s="96"/>
      <c r="K151" s="314" t="str">
        <f>IF(ISBLANK(Geschäftsreisen[[#This Row],[Wert 
(Zahl)]]),"", SUM(Geschäftsreisen[[#This Row],[Scope 1 Ergebnis location-based '[kg CO2e']]:[Scope 3 Ergebnis location-based '[kg CO2e']]]))</f>
        <v/>
      </c>
      <c r="L151" s="166"/>
      <c r="M151" s="15" t="str">
        <f>IF(ISBLANK(Geschäftsreisen[[#This Row],[Emissionsquelle/Aktivität (Dropdown)]]),"",CONCATENATE(Geschäftsreisen[[#This Row],[Sektor_Thema]]," - ",Geschäftsreisen[[#This Row],[Emissionsquelle/Aktivität (Dropdown)]]))</f>
        <v/>
      </c>
      <c r="N151" s="15" t="str">
        <f>IFERROR(VLOOKUP(Geschäftsreisen[[#This Row],[Thema_Bezeichung]],EFs_Geschäftsreisen[],5,FALSE),"")</f>
        <v/>
      </c>
      <c r="O151" s="15" t="str">
        <f>IFERROR(VLOOKUP(Geschäftsreisen[[#This Row],[Thema_Bezeichung]],EFs_Geschäftsreisen[],6,FALSE),"")</f>
        <v/>
      </c>
      <c r="P151" s="15" t="str">
        <f>IFERROR(VLOOKUP(Geschäftsreisen[[#This Row],[Thema_Bezeichung]],EFs_Geschäftsreisen[],7,FALSE),"")</f>
        <v/>
      </c>
      <c r="Q151" s="15" t="str">
        <f>IFERROR(Geschäftsreisen[[#This Row],[Wert 
(Zahl)]]*Geschäftsreisen[[#This Row],[Scope 1 Emissionsfaktor '[kg CO2e/Einheit']]],"")</f>
        <v/>
      </c>
      <c r="R151" s="15" t="str">
        <f>IFERROR(Geschäftsreisen[[#This Row],[Wert 
(Zahl)]]*Geschäftsreisen[[#This Row],[Scope 2 Emissionsfaktor '[kg CO2e/Einheit']]],"")</f>
        <v/>
      </c>
      <c r="S151" s="15" t="str">
        <f>IFERROR(Geschäftsreisen[[#This Row],[Wert 
(Zahl)]]*Geschäftsreisen[[#This Row],[Scope 3 Emissionsfaktor '[kg CO2e/Einheit']]],"")</f>
        <v/>
      </c>
    </row>
    <row r="152" spans="2:19" s="95" customFormat="1" x14ac:dyDescent="0.35">
      <c r="B152" s="407"/>
      <c r="C152" s="10" t="str">
        <f t="shared" si="4"/>
        <v>Geschäftsreisen</v>
      </c>
      <c r="D152" s="96"/>
      <c r="E152" s="96"/>
      <c r="F152" s="313"/>
      <c r="G152" s="10" t="str">
        <f>IFERROR(VLOOKUP(Geschäftsreisen[[#This Row],[Thema_Bezeichung]],Emissionsfaktoren!$C$9:$N$201,4,FALSE),"")</f>
        <v/>
      </c>
      <c r="H152" s="96"/>
      <c r="I152" s="96"/>
      <c r="J152" s="96"/>
      <c r="K152" s="314" t="str">
        <f>IF(ISBLANK(Geschäftsreisen[[#This Row],[Wert 
(Zahl)]]),"", SUM(Geschäftsreisen[[#This Row],[Scope 1 Ergebnis location-based '[kg CO2e']]:[Scope 3 Ergebnis location-based '[kg CO2e']]]))</f>
        <v/>
      </c>
      <c r="L152" s="166"/>
      <c r="M152" s="15" t="str">
        <f>IF(ISBLANK(Geschäftsreisen[[#This Row],[Emissionsquelle/Aktivität (Dropdown)]]),"",CONCATENATE(Geschäftsreisen[[#This Row],[Sektor_Thema]]," - ",Geschäftsreisen[[#This Row],[Emissionsquelle/Aktivität (Dropdown)]]))</f>
        <v/>
      </c>
      <c r="N152" s="15" t="str">
        <f>IFERROR(VLOOKUP(Geschäftsreisen[[#This Row],[Thema_Bezeichung]],EFs_Geschäftsreisen[],5,FALSE),"")</f>
        <v/>
      </c>
      <c r="O152" s="15" t="str">
        <f>IFERROR(VLOOKUP(Geschäftsreisen[[#This Row],[Thema_Bezeichung]],EFs_Geschäftsreisen[],6,FALSE),"")</f>
        <v/>
      </c>
      <c r="P152" s="15" t="str">
        <f>IFERROR(VLOOKUP(Geschäftsreisen[[#This Row],[Thema_Bezeichung]],EFs_Geschäftsreisen[],7,FALSE),"")</f>
        <v/>
      </c>
      <c r="Q152" s="15" t="str">
        <f>IFERROR(Geschäftsreisen[[#This Row],[Wert 
(Zahl)]]*Geschäftsreisen[[#This Row],[Scope 1 Emissionsfaktor '[kg CO2e/Einheit']]],"")</f>
        <v/>
      </c>
      <c r="R152" s="15" t="str">
        <f>IFERROR(Geschäftsreisen[[#This Row],[Wert 
(Zahl)]]*Geschäftsreisen[[#This Row],[Scope 2 Emissionsfaktor '[kg CO2e/Einheit']]],"")</f>
        <v/>
      </c>
      <c r="S152" s="15" t="str">
        <f>IFERROR(Geschäftsreisen[[#This Row],[Wert 
(Zahl)]]*Geschäftsreisen[[#This Row],[Scope 3 Emissionsfaktor '[kg CO2e/Einheit']]],"")</f>
        <v/>
      </c>
    </row>
    <row r="153" spans="2:19" s="95" customFormat="1" x14ac:dyDescent="0.35">
      <c r="B153" s="407"/>
      <c r="C153" s="10" t="str">
        <f t="shared" si="4"/>
        <v>Geschäftsreisen</v>
      </c>
      <c r="D153" s="96"/>
      <c r="E153" s="96"/>
      <c r="F153" s="313"/>
      <c r="G153" s="10" t="str">
        <f>IFERROR(VLOOKUP(Geschäftsreisen[[#This Row],[Thema_Bezeichung]],Emissionsfaktoren!$C$9:$N$201,4,FALSE),"")</f>
        <v/>
      </c>
      <c r="H153" s="96"/>
      <c r="I153" s="96"/>
      <c r="J153" s="96"/>
      <c r="K153" s="314" t="str">
        <f>IF(ISBLANK(Geschäftsreisen[[#This Row],[Wert 
(Zahl)]]),"", SUM(Geschäftsreisen[[#This Row],[Scope 1 Ergebnis location-based '[kg CO2e']]:[Scope 3 Ergebnis location-based '[kg CO2e']]]))</f>
        <v/>
      </c>
      <c r="L153" s="166"/>
      <c r="M153" s="15" t="str">
        <f>IF(ISBLANK(Geschäftsreisen[[#This Row],[Emissionsquelle/Aktivität (Dropdown)]]),"",CONCATENATE(Geschäftsreisen[[#This Row],[Sektor_Thema]]," - ",Geschäftsreisen[[#This Row],[Emissionsquelle/Aktivität (Dropdown)]]))</f>
        <v/>
      </c>
      <c r="N153" s="15" t="str">
        <f>IFERROR(VLOOKUP(Geschäftsreisen[[#This Row],[Thema_Bezeichung]],EFs_Geschäftsreisen[],5,FALSE),"")</f>
        <v/>
      </c>
      <c r="O153" s="15" t="str">
        <f>IFERROR(VLOOKUP(Geschäftsreisen[[#This Row],[Thema_Bezeichung]],EFs_Geschäftsreisen[],6,FALSE),"")</f>
        <v/>
      </c>
      <c r="P153" s="15" t="str">
        <f>IFERROR(VLOOKUP(Geschäftsreisen[[#This Row],[Thema_Bezeichung]],EFs_Geschäftsreisen[],7,FALSE),"")</f>
        <v/>
      </c>
      <c r="Q153" s="15" t="str">
        <f>IFERROR(Geschäftsreisen[[#This Row],[Wert 
(Zahl)]]*Geschäftsreisen[[#This Row],[Scope 1 Emissionsfaktor '[kg CO2e/Einheit']]],"")</f>
        <v/>
      </c>
      <c r="R153" s="15" t="str">
        <f>IFERROR(Geschäftsreisen[[#This Row],[Wert 
(Zahl)]]*Geschäftsreisen[[#This Row],[Scope 2 Emissionsfaktor '[kg CO2e/Einheit']]],"")</f>
        <v/>
      </c>
      <c r="S153" s="15" t="str">
        <f>IFERROR(Geschäftsreisen[[#This Row],[Wert 
(Zahl)]]*Geschäftsreisen[[#This Row],[Scope 3 Emissionsfaktor '[kg CO2e/Einheit']]],"")</f>
        <v/>
      </c>
    </row>
    <row r="154" spans="2:19" s="95" customFormat="1" x14ac:dyDescent="0.35">
      <c r="B154" s="407"/>
      <c r="C154" s="10" t="str">
        <f t="shared" si="4"/>
        <v>Geschäftsreisen</v>
      </c>
      <c r="D154" s="96"/>
      <c r="E154" s="96"/>
      <c r="F154" s="313"/>
      <c r="G154" s="10" t="str">
        <f>IFERROR(VLOOKUP(Geschäftsreisen[[#This Row],[Thema_Bezeichung]],Emissionsfaktoren!$C$9:$N$201,4,FALSE),"")</f>
        <v/>
      </c>
      <c r="H154" s="96"/>
      <c r="I154" s="96"/>
      <c r="J154" s="96"/>
      <c r="K154" s="314" t="str">
        <f>IF(ISBLANK(Geschäftsreisen[[#This Row],[Wert 
(Zahl)]]),"", SUM(Geschäftsreisen[[#This Row],[Scope 1 Ergebnis location-based '[kg CO2e']]:[Scope 3 Ergebnis location-based '[kg CO2e']]]))</f>
        <v/>
      </c>
      <c r="L154" s="166"/>
      <c r="M154" s="15" t="str">
        <f>IF(ISBLANK(Geschäftsreisen[[#This Row],[Emissionsquelle/Aktivität (Dropdown)]]),"",CONCATENATE(Geschäftsreisen[[#This Row],[Sektor_Thema]]," - ",Geschäftsreisen[[#This Row],[Emissionsquelle/Aktivität (Dropdown)]]))</f>
        <v/>
      </c>
      <c r="N154" s="15" t="str">
        <f>IFERROR(VLOOKUP(Geschäftsreisen[[#This Row],[Thema_Bezeichung]],EFs_Geschäftsreisen[],5,FALSE),"")</f>
        <v/>
      </c>
      <c r="O154" s="15" t="str">
        <f>IFERROR(VLOOKUP(Geschäftsreisen[[#This Row],[Thema_Bezeichung]],EFs_Geschäftsreisen[],6,FALSE),"")</f>
        <v/>
      </c>
      <c r="P154" s="15" t="str">
        <f>IFERROR(VLOOKUP(Geschäftsreisen[[#This Row],[Thema_Bezeichung]],EFs_Geschäftsreisen[],7,FALSE),"")</f>
        <v/>
      </c>
      <c r="Q154" s="15" t="str">
        <f>IFERROR(Geschäftsreisen[[#This Row],[Wert 
(Zahl)]]*Geschäftsreisen[[#This Row],[Scope 1 Emissionsfaktor '[kg CO2e/Einheit']]],"")</f>
        <v/>
      </c>
      <c r="R154" s="15" t="str">
        <f>IFERROR(Geschäftsreisen[[#This Row],[Wert 
(Zahl)]]*Geschäftsreisen[[#This Row],[Scope 2 Emissionsfaktor '[kg CO2e/Einheit']]],"")</f>
        <v/>
      </c>
      <c r="S154" s="15" t="str">
        <f>IFERROR(Geschäftsreisen[[#This Row],[Wert 
(Zahl)]]*Geschäftsreisen[[#This Row],[Scope 3 Emissionsfaktor '[kg CO2e/Einheit']]],"")</f>
        <v/>
      </c>
    </row>
    <row r="155" spans="2:19" s="95" customFormat="1" x14ac:dyDescent="0.35">
      <c r="B155" s="407"/>
      <c r="C155" s="96" t="str">
        <f t="shared" si="4"/>
        <v>Geschäftsreisen</v>
      </c>
      <c r="D155" s="96"/>
      <c r="E155" s="96"/>
      <c r="F155" s="313"/>
      <c r="G155" s="96" t="str">
        <f>IFERROR(VLOOKUP(Geschäftsreisen[[#This Row],[Thema_Bezeichung]],Emissionsfaktoren!$C$9:$N$201,4,FALSE),"")</f>
        <v/>
      </c>
      <c r="H155" s="96"/>
      <c r="I155" s="96"/>
      <c r="J155" s="96"/>
      <c r="K155" s="315" t="str">
        <f>IF(ISBLANK(Geschäftsreisen[[#This Row],[Wert 
(Zahl)]]),"", SUM(Geschäftsreisen[[#This Row],[Scope 1 Ergebnis location-based '[kg CO2e']]:[Scope 3 Ergebnis location-based '[kg CO2e']]]))</f>
        <v/>
      </c>
      <c r="L155" s="167"/>
      <c r="M155" s="100" t="str">
        <f>IF(ISBLANK(Geschäftsreisen[[#This Row],[Emissionsquelle/Aktivität (Dropdown)]]),"",CONCATENATE(Geschäftsreisen[[#This Row],[Sektor_Thema]]," - ",Geschäftsreisen[[#This Row],[Emissionsquelle/Aktivität (Dropdown)]]))</f>
        <v/>
      </c>
      <c r="N155" s="100" t="str">
        <f>IFERROR(VLOOKUP(Geschäftsreisen[[#This Row],[Thema_Bezeichung]],EFs_Geschäftsreisen[],5,FALSE),"")</f>
        <v/>
      </c>
      <c r="O155" s="100" t="str">
        <f>IFERROR(VLOOKUP(Geschäftsreisen[[#This Row],[Thema_Bezeichung]],EFs_Geschäftsreisen[],6,FALSE),"")</f>
        <v/>
      </c>
      <c r="P155" s="100" t="str">
        <f>IFERROR(VLOOKUP(Geschäftsreisen[[#This Row],[Thema_Bezeichung]],EFs_Geschäftsreisen[],7,FALSE),"")</f>
        <v/>
      </c>
      <c r="Q155" s="100" t="str">
        <f>IFERROR(Geschäftsreisen[[#This Row],[Wert 
(Zahl)]]*Geschäftsreisen[[#This Row],[Scope 1 Emissionsfaktor '[kg CO2e/Einheit']]],"")</f>
        <v/>
      </c>
      <c r="R155" s="100" t="str">
        <f>IFERROR(Geschäftsreisen[[#This Row],[Wert 
(Zahl)]]*Geschäftsreisen[[#This Row],[Scope 2 Emissionsfaktor '[kg CO2e/Einheit']]],"")</f>
        <v/>
      </c>
      <c r="S155" s="100" t="str">
        <f>IFERROR(Geschäftsreisen[[#This Row],[Wert 
(Zahl)]]*Geschäftsreisen[[#This Row],[Scope 3 Emissionsfaktor '[kg CO2e/Einheit']]],"")</f>
        <v/>
      </c>
    </row>
    <row r="156" spans="2:19" s="95" customFormat="1" ht="15" thickBot="1" x14ac:dyDescent="0.4">
      <c r="B156" s="408"/>
      <c r="C156" s="96" t="str">
        <f t="shared" si="4"/>
        <v>Geschäftsreisen</v>
      </c>
      <c r="D156" s="96"/>
      <c r="E156" s="96"/>
      <c r="F156" s="313"/>
      <c r="G156" s="96" t="str">
        <f>IFERROR(VLOOKUP(Geschäftsreisen[[#This Row],[Thema_Bezeichung]],Emissionsfaktoren!$C$9:$N$201,4,FALSE),"")</f>
        <v/>
      </c>
      <c r="H156" s="96"/>
      <c r="I156" s="96"/>
      <c r="J156" s="96"/>
      <c r="K156" s="315" t="str">
        <f>IF(ISBLANK(Geschäftsreisen[[#This Row],[Wert 
(Zahl)]]),"", SUM(Geschäftsreisen[[#This Row],[Scope 1 Ergebnis location-based '[kg CO2e']]:[Scope 3 Ergebnis location-based '[kg CO2e']]]))</f>
        <v/>
      </c>
      <c r="L156" s="167"/>
      <c r="M156" s="100" t="str">
        <f>IF(ISBLANK(Geschäftsreisen[[#This Row],[Emissionsquelle/Aktivität (Dropdown)]]),"",CONCATENATE(Geschäftsreisen[[#This Row],[Sektor_Thema]]," - ",Geschäftsreisen[[#This Row],[Emissionsquelle/Aktivität (Dropdown)]]))</f>
        <v/>
      </c>
      <c r="N156" s="100" t="str">
        <f>IFERROR(VLOOKUP(Geschäftsreisen[[#This Row],[Thema_Bezeichung]],EFs_Geschäftsreisen[],5,FALSE),"")</f>
        <v/>
      </c>
      <c r="O156" s="100" t="str">
        <f>IFERROR(VLOOKUP(Geschäftsreisen[[#This Row],[Thema_Bezeichung]],EFs_Geschäftsreisen[],6,FALSE),"")</f>
        <v/>
      </c>
      <c r="P156" s="100" t="str">
        <f>IFERROR(VLOOKUP(Geschäftsreisen[[#This Row],[Thema_Bezeichung]],EFs_Geschäftsreisen[],7,FALSE),"")</f>
        <v/>
      </c>
      <c r="Q156" s="100" t="str">
        <f>IFERROR(Geschäftsreisen[[#This Row],[Wert 
(Zahl)]]*Geschäftsreisen[[#This Row],[Scope 1 Emissionsfaktor '[kg CO2e/Einheit']]],"")</f>
        <v/>
      </c>
      <c r="R156" s="100" t="str">
        <f>IFERROR(Geschäftsreisen[[#This Row],[Wert 
(Zahl)]]*Geschäftsreisen[[#This Row],[Scope 2 Emissionsfaktor '[kg CO2e/Einheit']]],"")</f>
        <v/>
      </c>
      <c r="S156" s="100" t="str">
        <f>IFERROR(Geschäftsreisen[[#This Row],[Wert 
(Zahl)]]*Geschäftsreisen[[#This Row],[Scope 3 Emissionsfaktor '[kg CO2e/Einheit']]],"")</f>
        <v/>
      </c>
    </row>
    <row r="157" spans="2:19" s="2" customFormat="1" ht="15" thickTop="1" x14ac:dyDescent="0.35">
      <c r="B157" s="13"/>
      <c r="D157" s="2" t="s">
        <v>226</v>
      </c>
      <c r="K157" s="316">
        <f>SUBTOTAL(109,Geschäftsreisen[Ergebnis '[kg CO2e'] (vorausgefüllt)])</f>
        <v>0</v>
      </c>
      <c r="L157" s="172"/>
      <c r="Q157" s="2">
        <f>SUBTOTAL(109,Geschäftsreisen[Scope 1 Ergebnis location-based '[kg CO2e']])</f>
        <v>0</v>
      </c>
      <c r="R157" s="2">
        <f>SUBTOTAL(109,Geschäftsreisen[Scope 2 Ergebnis location-based '[kg CO2e']])</f>
        <v>0</v>
      </c>
      <c r="S157" s="2">
        <f>SUBTOTAL(109,Geschäftsreisen[Scope 3 Ergebnis location-based '[kg CO2e']])</f>
        <v>0</v>
      </c>
    </row>
    <row r="158" spans="2:19" ht="120" customHeight="1" x14ac:dyDescent="0.35">
      <c r="B158" s="197" t="s">
        <v>85</v>
      </c>
      <c r="C158" s="87"/>
      <c r="D158" s="87"/>
      <c r="E158" s="11"/>
      <c r="F158" s="11"/>
      <c r="G158" s="11"/>
      <c r="H158" s="11"/>
      <c r="I158" s="11"/>
    </row>
    <row r="159" spans="2:19" x14ac:dyDescent="0.35">
      <c r="B159" s="135" t="s">
        <v>86</v>
      </c>
    </row>
    <row r="160" spans="2:19" ht="18.5" x14ac:dyDescent="0.45">
      <c r="B160" s="134" t="s">
        <v>74</v>
      </c>
    </row>
    <row r="161" spans="2:19" ht="63" customHeight="1" x14ac:dyDescent="0.35">
      <c r="B161" s="298" t="s">
        <v>93</v>
      </c>
      <c r="C161" s="299"/>
      <c r="D161" s="404" t="s">
        <v>238</v>
      </c>
      <c r="E161" s="404"/>
      <c r="F161" s="404"/>
      <c r="G161" s="404"/>
      <c r="H161" s="404"/>
      <c r="I161" s="405"/>
    </row>
    <row r="162" spans="2:19" x14ac:dyDescent="0.35">
      <c r="C162" t="s">
        <v>76</v>
      </c>
    </row>
    <row r="163" spans="2:19" s="1" customFormat="1" ht="44" thickBot="1" x14ac:dyDescent="0.4">
      <c r="B163" s="10"/>
      <c r="C163" s="27" t="s">
        <v>51</v>
      </c>
      <c r="D163" s="27" t="s">
        <v>214</v>
      </c>
      <c r="E163" s="27" t="s">
        <v>71</v>
      </c>
      <c r="F163" s="27" t="s">
        <v>72</v>
      </c>
      <c r="G163" s="103" t="s">
        <v>84</v>
      </c>
      <c r="H163" s="27" t="s">
        <v>135</v>
      </c>
      <c r="I163" s="103" t="s">
        <v>80</v>
      </c>
      <c r="J163" s="103" t="s">
        <v>81</v>
      </c>
      <c r="K163" s="164" t="s">
        <v>243</v>
      </c>
      <c r="L163" s="171" t="s">
        <v>133</v>
      </c>
      <c r="M163" s="103" t="s">
        <v>241</v>
      </c>
      <c r="N163" s="103" t="s">
        <v>87</v>
      </c>
      <c r="O163" s="103" t="s">
        <v>89</v>
      </c>
      <c r="P163" s="103" t="s">
        <v>88</v>
      </c>
      <c r="Q163" s="103" t="s">
        <v>92</v>
      </c>
      <c r="R163" s="103" t="s">
        <v>91</v>
      </c>
      <c r="S163" s="103" t="s">
        <v>90</v>
      </c>
    </row>
    <row r="164" spans="2:19" s="95" customFormat="1" ht="15" thickTop="1" x14ac:dyDescent="0.35">
      <c r="B164" s="406" t="s">
        <v>74</v>
      </c>
      <c r="C164" s="10" t="str">
        <f t="shared" ref="C164:C183" si="5">$C$162</f>
        <v>Pendeln_Mitarbeitende</v>
      </c>
      <c r="D164" s="96"/>
      <c r="E164" s="96"/>
      <c r="F164" s="313"/>
      <c r="G164" s="10" t="str">
        <f>IFERROR(VLOOKUP(Pendeln_Mitarbeitende[[#This Row],[Thema_Bezeichung]],Emissionsfaktoren!$C$9:$N$201,4,FALSE),"")</f>
        <v/>
      </c>
      <c r="H164" s="96"/>
      <c r="I164" s="96"/>
      <c r="J164" s="96"/>
      <c r="K164" s="314" t="str">
        <f>IF(ISBLANK(Pendeln_Mitarbeitende[[#This Row],[Wert 
(Zahl)]]),"", SUM(Pendeln_Mitarbeitende[[#This Row],[Scope 1 Ergebnis location-based '[kg CO2e']]:[Scope 3 Ergebnis location-based '[kg CO2e']]]))</f>
        <v/>
      </c>
      <c r="L164" s="166"/>
      <c r="M164" s="15" t="str">
        <f>IF(ISBLANK(Pendeln_Mitarbeitende[[#This Row],[Emissionsquelle/Aktivität (Dropdown)]]),"",CONCATENATE(Pendeln_Mitarbeitende[[#This Row],[Sektor_Thema]]," - ",Pendeln_Mitarbeitende[[#This Row],[Emissionsquelle/Aktivität (Dropdown)]]))</f>
        <v/>
      </c>
      <c r="N164" s="15" t="str">
        <f>IFERROR(VLOOKUP(Pendeln_Mitarbeitende[[#This Row],[Thema_Bezeichung]],EFs_Pendeln[],5,FALSE),"")</f>
        <v/>
      </c>
      <c r="O164" s="15" t="str">
        <f>IFERROR(VLOOKUP(Pendeln_Mitarbeitende[[#This Row],[Thema_Bezeichung]],EFs_Pendeln[],6,FALSE),"")</f>
        <v/>
      </c>
      <c r="P164" s="15" t="str">
        <f>IFERROR(VLOOKUP(Pendeln_Mitarbeitende[[#This Row],[Thema_Bezeichung]],EFs_Pendeln[],7,FALSE),"")</f>
        <v/>
      </c>
      <c r="Q164" s="15" t="str">
        <f>IFERROR(Pendeln_Mitarbeitende[[#This Row],[Wert 
(Zahl)]]*Pendeln_Mitarbeitende[[#This Row],[Scope 1 Emissionsfaktor '[kg CO2e/Einheit']]],"")</f>
        <v/>
      </c>
      <c r="R164" s="15" t="str">
        <f>IFERROR(Pendeln_Mitarbeitende[[#This Row],[Wert 
(Zahl)]]*Pendeln_Mitarbeitende[[#This Row],[Scope 2 Emissionsfaktor '[kg CO2e/Einheit']]],"")</f>
        <v/>
      </c>
      <c r="S164" s="15" t="str">
        <f>IFERROR(Pendeln_Mitarbeitende[[#This Row],[Wert 
(Zahl)]]*Pendeln_Mitarbeitende[[#This Row],[Scope 3 Emissionsfaktor '[kg CO2e/Einheit']]],"")</f>
        <v/>
      </c>
    </row>
    <row r="165" spans="2:19" s="95" customFormat="1" x14ac:dyDescent="0.35">
      <c r="B165" s="407"/>
      <c r="C165" s="10" t="str">
        <f t="shared" si="5"/>
        <v>Pendeln_Mitarbeitende</v>
      </c>
      <c r="D165" s="96"/>
      <c r="E165" s="96"/>
      <c r="F165" s="313"/>
      <c r="G165" s="10" t="str">
        <f>IFERROR(VLOOKUP(Pendeln_Mitarbeitende[[#This Row],[Thema_Bezeichung]],Emissionsfaktoren!$C$9:$N$201,4,FALSE),"")</f>
        <v/>
      </c>
      <c r="H165" s="96"/>
      <c r="I165" s="96"/>
      <c r="J165" s="96"/>
      <c r="K165" s="314" t="str">
        <f>IF(ISBLANK(Pendeln_Mitarbeitende[[#This Row],[Wert 
(Zahl)]]),"", SUM(Pendeln_Mitarbeitende[[#This Row],[Scope 1 Ergebnis location-based '[kg CO2e']]:[Scope 3 Ergebnis location-based '[kg CO2e']]]))</f>
        <v/>
      </c>
      <c r="L165" s="166"/>
      <c r="M165" s="15" t="str">
        <f>IF(ISBLANK(Pendeln_Mitarbeitende[[#This Row],[Emissionsquelle/Aktivität (Dropdown)]]),"",CONCATENATE(Pendeln_Mitarbeitende[[#This Row],[Sektor_Thema]]," - ",Pendeln_Mitarbeitende[[#This Row],[Emissionsquelle/Aktivität (Dropdown)]]))</f>
        <v/>
      </c>
      <c r="N165" s="15" t="str">
        <f>IFERROR(VLOOKUP(Pendeln_Mitarbeitende[[#This Row],[Thema_Bezeichung]],EFs_Pendeln[],5,FALSE),"")</f>
        <v/>
      </c>
      <c r="O165" s="15" t="str">
        <f>IFERROR(VLOOKUP(Pendeln_Mitarbeitende[[#This Row],[Thema_Bezeichung]],EFs_Pendeln[],6,FALSE),"")</f>
        <v/>
      </c>
      <c r="P165" s="15" t="str">
        <f>IFERROR(VLOOKUP(Pendeln_Mitarbeitende[[#This Row],[Thema_Bezeichung]],EFs_Pendeln[],7,FALSE),"")</f>
        <v/>
      </c>
      <c r="Q165" s="15" t="str">
        <f>IFERROR(Pendeln_Mitarbeitende[[#This Row],[Wert 
(Zahl)]]*Pendeln_Mitarbeitende[[#This Row],[Scope 1 Emissionsfaktor '[kg CO2e/Einheit']]],"")</f>
        <v/>
      </c>
      <c r="R165" s="15" t="str">
        <f>IFERROR(Pendeln_Mitarbeitende[[#This Row],[Wert 
(Zahl)]]*Pendeln_Mitarbeitende[[#This Row],[Scope 2 Emissionsfaktor '[kg CO2e/Einheit']]],"")</f>
        <v/>
      </c>
      <c r="S165" s="15" t="str">
        <f>IFERROR(Pendeln_Mitarbeitende[[#This Row],[Wert 
(Zahl)]]*Pendeln_Mitarbeitende[[#This Row],[Scope 3 Emissionsfaktor '[kg CO2e/Einheit']]],"")</f>
        <v/>
      </c>
    </row>
    <row r="166" spans="2:19" s="95" customFormat="1" x14ac:dyDescent="0.35">
      <c r="B166" s="407"/>
      <c r="C166" s="10" t="str">
        <f t="shared" si="5"/>
        <v>Pendeln_Mitarbeitende</v>
      </c>
      <c r="D166" s="96"/>
      <c r="E166" s="96"/>
      <c r="F166" s="313"/>
      <c r="G166" s="10" t="str">
        <f>IFERROR(VLOOKUP(Pendeln_Mitarbeitende[[#This Row],[Thema_Bezeichung]],Emissionsfaktoren!$C$9:$N$201,4,FALSE),"")</f>
        <v/>
      </c>
      <c r="H166" s="96"/>
      <c r="I166" s="96"/>
      <c r="J166" s="96"/>
      <c r="K166" s="314" t="str">
        <f>IF(ISBLANK(Pendeln_Mitarbeitende[[#This Row],[Wert 
(Zahl)]]),"", SUM(Pendeln_Mitarbeitende[[#This Row],[Scope 1 Ergebnis location-based '[kg CO2e']]:[Scope 3 Ergebnis location-based '[kg CO2e']]]))</f>
        <v/>
      </c>
      <c r="L166" s="166"/>
      <c r="M166" s="15" t="str">
        <f>IF(ISBLANK(Pendeln_Mitarbeitende[[#This Row],[Emissionsquelle/Aktivität (Dropdown)]]),"",CONCATENATE(Pendeln_Mitarbeitende[[#This Row],[Sektor_Thema]]," - ",Pendeln_Mitarbeitende[[#This Row],[Emissionsquelle/Aktivität (Dropdown)]]))</f>
        <v/>
      </c>
      <c r="N166" s="15" t="str">
        <f>IFERROR(VLOOKUP(Pendeln_Mitarbeitende[[#This Row],[Thema_Bezeichung]],EFs_Pendeln[],5,FALSE),"")</f>
        <v/>
      </c>
      <c r="O166" s="15" t="str">
        <f>IFERROR(VLOOKUP(Pendeln_Mitarbeitende[[#This Row],[Thema_Bezeichung]],EFs_Pendeln[],6,FALSE),"")</f>
        <v/>
      </c>
      <c r="P166" s="15" t="str">
        <f>IFERROR(VLOOKUP(Pendeln_Mitarbeitende[[#This Row],[Thema_Bezeichung]],EFs_Pendeln[],7,FALSE),"")</f>
        <v/>
      </c>
      <c r="Q166" s="15" t="str">
        <f>IFERROR(Pendeln_Mitarbeitende[[#This Row],[Wert 
(Zahl)]]*Pendeln_Mitarbeitende[[#This Row],[Scope 1 Emissionsfaktor '[kg CO2e/Einheit']]],"")</f>
        <v/>
      </c>
      <c r="R166" s="15" t="str">
        <f>IFERROR(Pendeln_Mitarbeitende[[#This Row],[Wert 
(Zahl)]]*Pendeln_Mitarbeitende[[#This Row],[Scope 2 Emissionsfaktor '[kg CO2e/Einheit']]],"")</f>
        <v/>
      </c>
      <c r="S166" s="15" t="str">
        <f>IFERROR(Pendeln_Mitarbeitende[[#This Row],[Wert 
(Zahl)]]*Pendeln_Mitarbeitende[[#This Row],[Scope 3 Emissionsfaktor '[kg CO2e/Einheit']]],"")</f>
        <v/>
      </c>
    </row>
    <row r="167" spans="2:19" s="95" customFormat="1" x14ac:dyDescent="0.35">
      <c r="B167" s="407"/>
      <c r="C167" s="10" t="str">
        <f t="shared" si="5"/>
        <v>Pendeln_Mitarbeitende</v>
      </c>
      <c r="D167" s="96"/>
      <c r="E167" s="96"/>
      <c r="F167" s="313"/>
      <c r="G167" s="10" t="str">
        <f>IFERROR(VLOOKUP(Pendeln_Mitarbeitende[[#This Row],[Thema_Bezeichung]],Emissionsfaktoren!$C$9:$N$201,4,FALSE),"")</f>
        <v/>
      </c>
      <c r="H167" s="96"/>
      <c r="I167" s="96"/>
      <c r="J167" s="96"/>
      <c r="K167" s="314" t="str">
        <f>IF(ISBLANK(Pendeln_Mitarbeitende[[#This Row],[Wert 
(Zahl)]]),"", SUM(Pendeln_Mitarbeitende[[#This Row],[Scope 1 Ergebnis location-based '[kg CO2e']]:[Scope 3 Ergebnis location-based '[kg CO2e']]]))</f>
        <v/>
      </c>
      <c r="L167" s="166"/>
      <c r="M167" s="15" t="str">
        <f>IF(ISBLANK(Pendeln_Mitarbeitende[[#This Row],[Emissionsquelle/Aktivität (Dropdown)]]),"",CONCATENATE(Pendeln_Mitarbeitende[[#This Row],[Sektor_Thema]]," - ",Pendeln_Mitarbeitende[[#This Row],[Emissionsquelle/Aktivität (Dropdown)]]))</f>
        <v/>
      </c>
      <c r="N167" s="15" t="str">
        <f>IFERROR(VLOOKUP(Pendeln_Mitarbeitende[[#This Row],[Thema_Bezeichung]],EFs_Pendeln[],5,FALSE),"")</f>
        <v/>
      </c>
      <c r="O167" s="15" t="str">
        <f>IFERROR(VLOOKUP(Pendeln_Mitarbeitende[[#This Row],[Thema_Bezeichung]],EFs_Pendeln[],6,FALSE),"")</f>
        <v/>
      </c>
      <c r="P167" s="15" t="str">
        <f>IFERROR(VLOOKUP(Pendeln_Mitarbeitende[[#This Row],[Thema_Bezeichung]],EFs_Pendeln[],7,FALSE),"")</f>
        <v/>
      </c>
      <c r="Q167" s="15" t="str">
        <f>IFERROR(Pendeln_Mitarbeitende[[#This Row],[Wert 
(Zahl)]]*Pendeln_Mitarbeitende[[#This Row],[Scope 1 Emissionsfaktor '[kg CO2e/Einheit']]],"")</f>
        <v/>
      </c>
      <c r="R167" s="15" t="str">
        <f>IFERROR(Pendeln_Mitarbeitende[[#This Row],[Wert 
(Zahl)]]*Pendeln_Mitarbeitende[[#This Row],[Scope 2 Emissionsfaktor '[kg CO2e/Einheit']]],"")</f>
        <v/>
      </c>
      <c r="S167" s="15" t="str">
        <f>IFERROR(Pendeln_Mitarbeitende[[#This Row],[Wert 
(Zahl)]]*Pendeln_Mitarbeitende[[#This Row],[Scope 3 Emissionsfaktor '[kg CO2e/Einheit']]],"")</f>
        <v/>
      </c>
    </row>
    <row r="168" spans="2:19" s="95" customFormat="1" x14ac:dyDescent="0.35">
      <c r="B168" s="407"/>
      <c r="C168" s="10" t="str">
        <f t="shared" si="5"/>
        <v>Pendeln_Mitarbeitende</v>
      </c>
      <c r="D168" s="96"/>
      <c r="E168" s="96"/>
      <c r="F168" s="313"/>
      <c r="G168" s="10" t="str">
        <f>IFERROR(VLOOKUP(Pendeln_Mitarbeitende[[#This Row],[Thema_Bezeichung]],Emissionsfaktoren!$C$9:$N$201,4,FALSE),"")</f>
        <v/>
      </c>
      <c r="H168" s="96"/>
      <c r="I168" s="96"/>
      <c r="J168" s="96"/>
      <c r="K168" s="314" t="str">
        <f>IF(ISBLANK(Pendeln_Mitarbeitende[[#This Row],[Wert 
(Zahl)]]),"", SUM(Pendeln_Mitarbeitende[[#This Row],[Scope 1 Ergebnis location-based '[kg CO2e']]:[Scope 3 Ergebnis location-based '[kg CO2e']]]))</f>
        <v/>
      </c>
      <c r="L168" s="166"/>
      <c r="M168" s="15" t="str">
        <f>IF(ISBLANK(Pendeln_Mitarbeitende[[#This Row],[Emissionsquelle/Aktivität (Dropdown)]]),"",CONCATENATE(Pendeln_Mitarbeitende[[#This Row],[Sektor_Thema]]," - ",Pendeln_Mitarbeitende[[#This Row],[Emissionsquelle/Aktivität (Dropdown)]]))</f>
        <v/>
      </c>
      <c r="N168" s="15" t="str">
        <f>IFERROR(VLOOKUP(Pendeln_Mitarbeitende[[#This Row],[Thema_Bezeichung]],EFs_Pendeln[],5,FALSE),"")</f>
        <v/>
      </c>
      <c r="O168" s="15" t="str">
        <f>IFERROR(VLOOKUP(Pendeln_Mitarbeitende[[#This Row],[Thema_Bezeichung]],EFs_Pendeln[],6,FALSE),"")</f>
        <v/>
      </c>
      <c r="P168" s="15" t="str">
        <f>IFERROR(VLOOKUP(Pendeln_Mitarbeitende[[#This Row],[Thema_Bezeichung]],EFs_Pendeln[],7,FALSE),"")</f>
        <v/>
      </c>
      <c r="Q168" s="15" t="str">
        <f>IFERROR(Pendeln_Mitarbeitende[[#This Row],[Wert 
(Zahl)]]*Pendeln_Mitarbeitende[[#This Row],[Scope 1 Emissionsfaktor '[kg CO2e/Einheit']]],"")</f>
        <v/>
      </c>
      <c r="R168" s="15" t="str">
        <f>IFERROR(Pendeln_Mitarbeitende[[#This Row],[Wert 
(Zahl)]]*Pendeln_Mitarbeitende[[#This Row],[Scope 2 Emissionsfaktor '[kg CO2e/Einheit']]],"")</f>
        <v/>
      </c>
      <c r="S168" s="15" t="str">
        <f>IFERROR(Pendeln_Mitarbeitende[[#This Row],[Wert 
(Zahl)]]*Pendeln_Mitarbeitende[[#This Row],[Scope 3 Emissionsfaktor '[kg CO2e/Einheit']]],"")</f>
        <v/>
      </c>
    </row>
    <row r="169" spans="2:19" s="95" customFormat="1" x14ac:dyDescent="0.35">
      <c r="B169" s="407"/>
      <c r="C169" s="10" t="str">
        <f t="shared" si="5"/>
        <v>Pendeln_Mitarbeitende</v>
      </c>
      <c r="D169" s="96"/>
      <c r="E169" s="96"/>
      <c r="F169" s="313"/>
      <c r="G169" s="10" t="str">
        <f>IFERROR(VLOOKUP(Pendeln_Mitarbeitende[[#This Row],[Thema_Bezeichung]],Emissionsfaktoren!$C$9:$N$201,4,FALSE),"")</f>
        <v/>
      </c>
      <c r="H169" s="96"/>
      <c r="I169" s="96"/>
      <c r="J169" s="96"/>
      <c r="K169" s="314" t="str">
        <f>IF(ISBLANK(Pendeln_Mitarbeitende[[#This Row],[Wert 
(Zahl)]]),"", SUM(Pendeln_Mitarbeitende[[#This Row],[Scope 1 Ergebnis location-based '[kg CO2e']]:[Scope 3 Ergebnis location-based '[kg CO2e']]]))</f>
        <v/>
      </c>
      <c r="L169" s="166"/>
      <c r="M169" s="15" t="str">
        <f>IF(ISBLANK(Pendeln_Mitarbeitende[[#This Row],[Emissionsquelle/Aktivität (Dropdown)]]),"",CONCATENATE(Pendeln_Mitarbeitende[[#This Row],[Sektor_Thema]]," - ",Pendeln_Mitarbeitende[[#This Row],[Emissionsquelle/Aktivität (Dropdown)]]))</f>
        <v/>
      </c>
      <c r="N169" s="15" t="str">
        <f>IFERROR(VLOOKUP(Pendeln_Mitarbeitende[[#This Row],[Thema_Bezeichung]],EFs_Pendeln[],5,FALSE),"")</f>
        <v/>
      </c>
      <c r="O169" s="15" t="str">
        <f>IFERROR(VLOOKUP(Pendeln_Mitarbeitende[[#This Row],[Thema_Bezeichung]],EFs_Pendeln[],6,FALSE),"")</f>
        <v/>
      </c>
      <c r="P169" s="15" t="str">
        <f>IFERROR(VLOOKUP(Pendeln_Mitarbeitende[[#This Row],[Thema_Bezeichung]],EFs_Pendeln[],7,FALSE),"")</f>
        <v/>
      </c>
      <c r="Q169" s="15" t="str">
        <f>IFERROR(Pendeln_Mitarbeitende[[#This Row],[Wert 
(Zahl)]]*Pendeln_Mitarbeitende[[#This Row],[Scope 1 Emissionsfaktor '[kg CO2e/Einheit']]],"")</f>
        <v/>
      </c>
      <c r="R169" s="15" t="str">
        <f>IFERROR(Pendeln_Mitarbeitende[[#This Row],[Wert 
(Zahl)]]*Pendeln_Mitarbeitende[[#This Row],[Scope 2 Emissionsfaktor '[kg CO2e/Einheit']]],"")</f>
        <v/>
      </c>
      <c r="S169" s="15" t="str">
        <f>IFERROR(Pendeln_Mitarbeitende[[#This Row],[Wert 
(Zahl)]]*Pendeln_Mitarbeitende[[#This Row],[Scope 3 Emissionsfaktor '[kg CO2e/Einheit']]],"")</f>
        <v/>
      </c>
    </row>
    <row r="170" spans="2:19" s="95" customFormat="1" x14ac:dyDescent="0.35">
      <c r="B170" s="407"/>
      <c r="C170" s="10" t="str">
        <f t="shared" si="5"/>
        <v>Pendeln_Mitarbeitende</v>
      </c>
      <c r="D170" s="96"/>
      <c r="E170" s="96"/>
      <c r="F170" s="313"/>
      <c r="G170" s="10" t="str">
        <f>IFERROR(VLOOKUP(Pendeln_Mitarbeitende[[#This Row],[Thema_Bezeichung]],Emissionsfaktoren!$C$9:$N$201,4,FALSE),"")</f>
        <v/>
      </c>
      <c r="H170" s="96"/>
      <c r="I170" s="96"/>
      <c r="J170" s="96"/>
      <c r="K170" s="314" t="str">
        <f>IF(ISBLANK(Pendeln_Mitarbeitende[[#This Row],[Wert 
(Zahl)]]),"", SUM(Pendeln_Mitarbeitende[[#This Row],[Scope 1 Ergebnis location-based '[kg CO2e']]:[Scope 3 Ergebnis location-based '[kg CO2e']]]))</f>
        <v/>
      </c>
      <c r="L170" s="166"/>
      <c r="M170" s="15" t="str">
        <f>IF(ISBLANK(Pendeln_Mitarbeitende[[#This Row],[Emissionsquelle/Aktivität (Dropdown)]]),"",CONCATENATE(Pendeln_Mitarbeitende[[#This Row],[Sektor_Thema]]," - ",Pendeln_Mitarbeitende[[#This Row],[Emissionsquelle/Aktivität (Dropdown)]]))</f>
        <v/>
      </c>
      <c r="N170" s="15" t="str">
        <f>IFERROR(VLOOKUP(Pendeln_Mitarbeitende[[#This Row],[Thema_Bezeichung]],EFs_Pendeln[],5,FALSE),"")</f>
        <v/>
      </c>
      <c r="O170" s="15" t="str">
        <f>IFERROR(VLOOKUP(Pendeln_Mitarbeitende[[#This Row],[Thema_Bezeichung]],EFs_Pendeln[],6,FALSE),"")</f>
        <v/>
      </c>
      <c r="P170" s="15" t="str">
        <f>IFERROR(VLOOKUP(Pendeln_Mitarbeitende[[#This Row],[Thema_Bezeichung]],EFs_Pendeln[],7,FALSE),"")</f>
        <v/>
      </c>
      <c r="Q170" s="15" t="str">
        <f>IFERROR(Pendeln_Mitarbeitende[[#This Row],[Wert 
(Zahl)]]*Pendeln_Mitarbeitende[[#This Row],[Scope 1 Emissionsfaktor '[kg CO2e/Einheit']]],"")</f>
        <v/>
      </c>
      <c r="R170" s="15" t="str">
        <f>IFERROR(Pendeln_Mitarbeitende[[#This Row],[Wert 
(Zahl)]]*Pendeln_Mitarbeitende[[#This Row],[Scope 2 Emissionsfaktor '[kg CO2e/Einheit']]],"")</f>
        <v/>
      </c>
      <c r="S170" s="15" t="str">
        <f>IFERROR(Pendeln_Mitarbeitende[[#This Row],[Wert 
(Zahl)]]*Pendeln_Mitarbeitende[[#This Row],[Scope 3 Emissionsfaktor '[kg CO2e/Einheit']]],"")</f>
        <v/>
      </c>
    </row>
    <row r="171" spans="2:19" s="95" customFormat="1" x14ac:dyDescent="0.35">
      <c r="B171" s="407"/>
      <c r="C171" s="10" t="str">
        <f t="shared" si="5"/>
        <v>Pendeln_Mitarbeitende</v>
      </c>
      <c r="D171" s="96"/>
      <c r="E171" s="96"/>
      <c r="F171" s="313"/>
      <c r="G171" s="10" t="str">
        <f>IFERROR(VLOOKUP(Pendeln_Mitarbeitende[[#This Row],[Thema_Bezeichung]],Emissionsfaktoren!$C$9:$N$201,4,FALSE),"")</f>
        <v/>
      </c>
      <c r="H171" s="96"/>
      <c r="I171" s="96"/>
      <c r="J171" s="96"/>
      <c r="K171" s="314" t="str">
        <f>IF(ISBLANK(Pendeln_Mitarbeitende[[#This Row],[Wert 
(Zahl)]]),"", SUM(Pendeln_Mitarbeitende[[#This Row],[Scope 1 Ergebnis location-based '[kg CO2e']]:[Scope 3 Ergebnis location-based '[kg CO2e']]]))</f>
        <v/>
      </c>
      <c r="L171" s="166"/>
      <c r="M171" s="15" t="str">
        <f>IF(ISBLANK(Pendeln_Mitarbeitende[[#This Row],[Emissionsquelle/Aktivität (Dropdown)]]),"",CONCATENATE(Pendeln_Mitarbeitende[[#This Row],[Sektor_Thema]]," - ",Pendeln_Mitarbeitende[[#This Row],[Emissionsquelle/Aktivität (Dropdown)]]))</f>
        <v/>
      </c>
      <c r="N171" s="15" t="str">
        <f>IFERROR(VLOOKUP(Pendeln_Mitarbeitende[[#This Row],[Thema_Bezeichung]],EFs_Pendeln[],5,FALSE),"")</f>
        <v/>
      </c>
      <c r="O171" s="15" t="str">
        <f>IFERROR(VLOOKUP(Pendeln_Mitarbeitende[[#This Row],[Thema_Bezeichung]],EFs_Pendeln[],6,FALSE),"")</f>
        <v/>
      </c>
      <c r="P171" s="15" t="str">
        <f>IFERROR(VLOOKUP(Pendeln_Mitarbeitende[[#This Row],[Thema_Bezeichung]],EFs_Pendeln[],7,FALSE),"")</f>
        <v/>
      </c>
      <c r="Q171" s="15" t="str">
        <f>IFERROR(Pendeln_Mitarbeitende[[#This Row],[Wert 
(Zahl)]]*Pendeln_Mitarbeitende[[#This Row],[Scope 1 Emissionsfaktor '[kg CO2e/Einheit']]],"")</f>
        <v/>
      </c>
      <c r="R171" s="15" t="str">
        <f>IFERROR(Pendeln_Mitarbeitende[[#This Row],[Wert 
(Zahl)]]*Pendeln_Mitarbeitende[[#This Row],[Scope 2 Emissionsfaktor '[kg CO2e/Einheit']]],"")</f>
        <v/>
      </c>
      <c r="S171" s="15" t="str">
        <f>IFERROR(Pendeln_Mitarbeitende[[#This Row],[Wert 
(Zahl)]]*Pendeln_Mitarbeitende[[#This Row],[Scope 3 Emissionsfaktor '[kg CO2e/Einheit']]],"")</f>
        <v/>
      </c>
    </row>
    <row r="172" spans="2:19" s="95" customFormat="1" x14ac:dyDescent="0.35">
      <c r="B172" s="407"/>
      <c r="C172" s="10" t="str">
        <f t="shared" si="5"/>
        <v>Pendeln_Mitarbeitende</v>
      </c>
      <c r="D172" s="96"/>
      <c r="E172" s="96"/>
      <c r="F172" s="313"/>
      <c r="G172" s="10" t="str">
        <f>IFERROR(VLOOKUP(Pendeln_Mitarbeitende[[#This Row],[Thema_Bezeichung]],Emissionsfaktoren!$C$9:$N$201,4,FALSE),"")</f>
        <v/>
      </c>
      <c r="H172" s="96"/>
      <c r="I172" s="96"/>
      <c r="J172" s="96"/>
      <c r="K172" s="314" t="str">
        <f>IF(ISBLANK(Pendeln_Mitarbeitende[[#This Row],[Wert 
(Zahl)]]),"", SUM(Pendeln_Mitarbeitende[[#This Row],[Scope 1 Ergebnis location-based '[kg CO2e']]:[Scope 3 Ergebnis location-based '[kg CO2e']]]))</f>
        <v/>
      </c>
      <c r="L172" s="166"/>
      <c r="M172" s="15" t="str">
        <f>IF(ISBLANK(Pendeln_Mitarbeitende[[#This Row],[Emissionsquelle/Aktivität (Dropdown)]]),"",CONCATENATE(Pendeln_Mitarbeitende[[#This Row],[Sektor_Thema]]," - ",Pendeln_Mitarbeitende[[#This Row],[Emissionsquelle/Aktivität (Dropdown)]]))</f>
        <v/>
      </c>
      <c r="N172" s="15" t="str">
        <f>IFERROR(VLOOKUP(Pendeln_Mitarbeitende[[#This Row],[Thema_Bezeichung]],EFs_Pendeln[],5,FALSE),"")</f>
        <v/>
      </c>
      <c r="O172" s="15" t="str">
        <f>IFERROR(VLOOKUP(Pendeln_Mitarbeitende[[#This Row],[Thema_Bezeichung]],EFs_Pendeln[],6,FALSE),"")</f>
        <v/>
      </c>
      <c r="P172" s="15" t="str">
        <f>IFERROR(VLOOKUP(Pendeln_Mitarbeitende[[#This Row],[Thema_Bezeichung]],EFs_Pendeln[],7,FALSE),"")</f>
        <v/>
      </c>
      <c r="Q172" s="15" t="str">
        <f>IFERROR(Pendeln_Mitarbeitende[[#This Row],[Wert 
(Zahl)]]*Pendeln_Mitarbeitende[[#This Row],[Scope 1 Emissionsfaktor '[kg CO2e/Einheit']]],"")</f>
        <v/>
      </c>
      <c r="R172" s="15" t="str">
        <f>IFERROR(Pendeln_Mitarbeitende[[#This Row],[Wert 
(Zahl)]]*Pendeln_Mitarbeitende[[#This Row],[Scope 2 Emissionsfaktor '[kg CO2e/Einheit']]],"")</f>
        <v/>
      </c>
      <c r="S172" s="15" t="str">
        <f>IFERROR(Pendeln_Mitarbeitende[[#This Row],[Wert 
(Zahl)]]*Pendeln_Mitarbeitende[[#This Row],[Scope 3 Emissionsfaktor '[kg CO2e/Einheit']]],"")</f>
        <v/>
      </c>
    </row>
    <row r="173" spans="2:19" s="95" customFormat="1" x14ac:dyDescent="0.35">
      <c r="B173" s="407"/>
      <c r="C173" s="10" t="str">
        <f t="shared" si="5"/>
        <v>Pendeln_Mitarbeitende</v>
      </c>
      <c r="D173" s="96"/>
      <c r="E173" s="96"/>
      <c r="F173" s="313"/>
      <c r="G173" s="10" t="str">
        <f>IFERROR(VLOOKUP(Pendeln_Mitarbeitende[[#This Row],[Thema_Bezeichung]],Emissionsfaktoren!$C$9:$N$201,4,FALSE),"")</f>
        <v/>
      </c>
      <c r="H173" s="96"/>
      <c r="I173" s="96"/>
      <c r="J173" s="96"/>
      <c r="K173" s="314" t="str">
        <f>IF(ISBLANK(Pendeln_Mitarbeitende[[#This Row],[Wert 
(Zahl)]]),"", SUM(Pendeln_Mitarbeitende[[#This Row],[Scope 1 Ergebnis location-based '[kg CO2e']]:[Scope 3 Ergebnis location-based '[kg CO2e']]]))</f>
        <v/>
      </c>
      <c r="L173" s="166"/>
      <c r="M173" s="15" t="str">
        <f>IF(ISBLANK(Pendeln_Mitarbeitende[[#This Row],[Emissionsquelle/Aktivität (Dropdown)]]),"",CONCATENATE(Pendeln_Mitarbeitende[[#This Row],[Sektor_Thema]]," - ",Pendeln_Mitarbeitende[[#This Row],[Emissionsquelle/Aktivität (Dropdown)]]))</f>
        <v/>
      </c>
      <c r="N173" s="15" t="str">
        <f>IFERROR(VLOOKUP(Pendeln_Mitarbeitende[[#This Row],[Thema_Bezeichung]],EFs_Pendeln[],5,FALSE),"")</f>
        <v/>
      </c>
      <c r="O173" s="15" t="str">
        <f>IFERROR(VLOOKUP(Pendeln_Mitarbeitende[[#This Row],[Thema_Bezeichung]],EFs_Pendeln[],6,FALSE),"")</f>
        <v/>
      </c>
      <c r="P173" s="15" t="str">
        <f>IFERROR(VLOOKUP(Pendeln_Mitarbeitende[[#This Row],[Thema_Bezeichung]],EFs_Pendeln[],7,FALSE),"")</f>
        <v/>
      </c>
      <c r="Q173" s="15" t="str">
        <f>IFERROR(Pendeln_Mitarbeitende[[#This Row],[Wert 
(Zahl)]]*Pendeln_Mitarbeitende[[#This Row],[Scope 1 Emissionsfaktor '[kg CO2e/Einheit']]],"")</f>
        <v/>
      </c>
      <c r="R173" s="15" t="str">
        <f>IFERROR(Pendeln_Mitarbeitende[[#This Row],[Wert 
(Zahl)]]*Pendeln_Mitarbeitende[[#This Row],[Scope 2 Emissionsfaktor '[kg CO2e/Einheit']]],"")</f>
        <v/>
      </c>
      <c r="S173" s="15" t="str">
        <f>IFERROR(Pendeln_Mitarbeitende[[#This Row],[Wert 
(Zahl)]]*Pendeln_Mitarbeitende[[#This Row],[Scope 3 Emissionsfaktor '[kg CO2e/Einheit']]],"")</f>
        <v/>
      </c>
    </row>
    <row r="174" spans="2:19" s="95" customFormat="1" x14ac:dyDescent="0.35">
      <c r="B174" s="407"/>
      <c r="C174" s="10" t="str">
        <f t="shared" si="5"/>
        <v>Pendeln_Mitarbeitende</v>
      </c>
      <c r="D174" s="96"/>
      <c r="E174" s="96"/>
      <c r="F174" s="313"/>
      <c r="G174" s="10" t="str">
        <f>IFERROR(VLOOKUP(Pendeln_Mitarbeitende[[#This Row],[Thema_Bezeichung]],Emissionsfaktoren!$C$9:$N$201,4,FALSE),"")</f>
        <v/>
      </c>
      <c r="H174" s="96"/>
      <c r="I174" s="96"/>
      <c r="J174" s="96"/>
      <c r="K174" s="314" t="str">
        <f>IF(ISBLANK(Pendeln_Mitarbeitende[[#This Row],[Wert 
(Zahl)]]),"", SUM(Pendeln_Mitarbeitende[[#This Row],[Scope 1 Ergebnis location-based '[kg CO2e']]:[Scope 3 Ergebnis location-based '[kg CO2e']]]))</f>
        <v/>
      </c>
      <c r="L174" s="166"/>
      <c r="M174" s="15" t="str">
        <f>IF(ISBLANK(Pendeln_Mitarbeitende[[#This Row],[Emissionsquelle/Aktivität (Dropdown)]]),"",CONCATENATE(Pendeln_Mitarbeitende[[#This Row],[Sektor_Thema]]," - ",Pendeln_Mitarbeitende[[#This Row],[Emissionsquelle/Aktivität (Dropdown)]]))</f>
        <v/>
      </c>
      <c r="N174" s="15" t="str">
        <f>IFERROR(VLOOKUP(Pendeln_Mitarbeitende[[#This Row],[Thema_Bezeichung]],EFs_Pendeln[],5,FALSE),"")</f>
        <v/>
      </c>
      <c r="O174" s="15" t="str">
        <f>IFERROR(VLOOKUP(Pendeln_Mitarbeitende[[#This Row],[Thema_Bezeichung]],EFs_Pendeln[],6,FALSE),"")</f>
        <v/>
      </c>
      <c r="P174" s="15" t="str">
        <f>IFERROR(VLOOKUP(Pendeln_Mitarbeitende[[#This Row],[Thema_Bezeichung]],EFs_Pendeln[],7,FALSE),"")</f>
        <v/>
      </c>
      <c r="Q174" s="15" t="str">
        <f>IFERROR(Pendeln_Mitarbeitende[[#This Row],[Wert 
(Zahl)]]*Pendeln_Mitarbeitende[[#This Row],[Scope 1 Emissionsfaktor '[kg CO2e/Einheit']]],"")</f>
        <v/>
      </c>
      <c r="R174" s="15" t="str">
        <f>IFERROR(Pendeln_Mitarbeitende[[#This Row],[Wert 
(Zahl)]]*Pendeln_Mitarbeitende[[#This Row],[Scope 2 Emissionsfaktor '[kg CO2e/Einheit']]],"")</f>
        <v/>
      </c>
      <c r="S174" s="15" t="str">
        <f>IFERROR(Pendeln_Mitarbeitende[[#This Row],[Wert 
(Zahl)]]*Pendeln_Mitarbeitende[[#This Row],[Scope 3 Emissionsfaktor '[kg CO2e/Einheit']]],"")</f>
        <v/>
      </c>
    </row>
    <row r="175" spans="2:19" s="95" customFormat="1" x14ac:dyDescent="0.35">
      <c r="B175" s="407"/>
      <c r="C175" s="10" t="str">
        <f t="shared" si="5"/>
        <v>Pendeln_Mitarbeitende</v>
      </c>
      <c r="D175" s="96"/>
      <c r="E175" s="96"/>
      <c r="F175" s="313"/>
      <c r="G175" s="10" t="str">
        <f>IFERROR(VLOOKUP(Pendeln_Mitarbeitende[[#This Row],[Thema_Bezeichung]],Emissionsfaktoren!$C$9:$N$201,4,FALSE),"")</f>
        <v/>
      </c>
      <c r="H175" s="96"/>
      <c r="I175" s="96"/>
      <c r="J175" s="96"/>
      <c r="K175" s="314" t="str">
        <f>IF(ISBLANK(Pendeln_Mitarbeitende[[#This Row],[Wert 
(Zahl)]]),"", SUM(Pendeln_Mitarbeitende[[#This Row],[Scope 1 Ergebnis location-based '[kg CO2e']]:[Scope 3 Ergebnis location-based '[kg CO2e']]]))</f>
        <v/>
      </c>
      <c r="L175" s="166"/>
      <c r="M175" s="15" t="str">
        <f>IF(ISBLANK(Pendeln_Mitarbeitende[[#This Row],[Emissionsquelle/Aktivität (Dropdown)]]),"",CONCATENATE(Pendeln_Mitarbeitende[[#This Row],[Sektor_Thema]]," - ",Pendeln_Mitarbeitende[[#This Row],[Emissionsquelle/Aktivität (Dropdown)]]))</f>
        <v/>
      </c>
      <c r="N175" s="15" t="str">
        <f>IFERROR(VLOOKUP(Pendeln_Mitarbeitende[[#This Row],[Thema_Bezeichung]],EFs_Pendeln[],5,FALSE),"")</f>
        <v/>
      </c>
      <c r="O175" s="15" t="str">
        <f>IFERROR(VLOOKUP(Pendeln_Mitarbeitende[[#This Row],[Thema_Bezeichung]],EFs_Pendeln[],6,FALSE),"")</f>
        <v/>
      </c>
      <c r="P175" s="15" t="str">
        <f>IFERROR(VLOOKUP(Pendeln_Mitarbeitende[[#This Row],[Thema_Bezeichung]],EFs_Pendeln[],7,FALSE),"")</f>
        <v/>
      </c>
      <c r="Q175" s="15" t="str">
        <f>IFERROR(Pendeln_Mitarbeitende[[#This Row],[Wert 
(Zahl)]]*Pendeln_Mitarbeitende[[#This Row],[Scope 1 Emissionsfaktor '[kg CO2e/Einheit']]],"")</f>
        <v/>
      </c>
      <c r="R175" s="15" t="str">
        <f>IFERROR(Pendeln_Mitarbeitende[[#This Row],[Wert 
(Zahl)]]*Pendeln_Mitarbeitende[[#This Row],[Scope 2 Emissionsfaktor '[kg CO2e/Einheit']]],"")</f>
        <v/>
      </c>
      <c r="S175" s="15" t="str">
        <f>IFERROR(Pendeln_Mitarbeitende[[#This Row],[Wert 
(Zahl)]]*Pendeln_Mitarbeitende[[#This Row],[Scope 3 Emissionsfaktor '[kg CO2e/Einheit']]],"")</f>
        <v/>
      </c>
    </row>
    <row r="176" spans="2:19" s="95" customFormat="1" x14ac:dyDescent="0.35">
      <c r="B176" s="407"/>
      <c r="C176" s="10" t="str">
        <f t="shared" si="5"/>
        <v>Pendeln_Mitarbeitende</v>
      </c>
      <c r="D176" s="96"/>
      <c r="E176" s="96"/>
      <c r="F176" s="313"/>
      <c r="G176" s="10" t="str">
        <f>IFERROR(VLOOKUP(Pendeln_Mitarbeitende[[#This Row],[Thema_Bezeichung]],Emissionsfaktoren!$C$9:$N$201,4,FALSE),"")</f>
        <v/>
      </c>
      <c r="H176" s="96"/>
      <c r="I176" s="96"/>
      <c r="J176" s="96"/>
      <c r="K176" s="314" t="str">
        <f>IF(ISBLANK(Pendeln_Mitarbeitende[[#This Row],[Wert 
(Zahl)]]),"", SUM(Pendeln_Mitarbeitende[[#This Row],[Scope 1 Ergebnis location-based '[kg CO2e']]:[Scope 3 Ergebnis location-based '[kg CO2e']]]))</f>
        <v/>
      </c>
      <c r="L176" s="166"/>
      <c r="M176" s="15" t="str">
        <f>IF(ISBLANK(Pendeln_Mitarbeitende[[#This Row],[Emissionsquelle/Aktivität (Dropdown)]]),"",CONCATENATE(Pendeln_Mitarbeitende[[#This Row],[Sektor_Thema]]," - ",Pendeln_Mitarbeitende[[#This Row],[Emissionsquelle/Aktivität (Dropdown)]]))</f>
        <v/>
      </c>
      <c r="N176" s="15" t="str">
        <f>IFERROR(VLOOKUP(Pendeln_Mitarbeitende[[#This Row],[Thema_Bezeichung]],EFs_Pendeln[],5,FALSE),"")</f>
        <v/>
      </c>
      <c r="O176" s="15" t="str">
        <f>IFERROR(VLOOKUP(Pendeln_Mitarbeitende[[#This Row],[Thema_Bezeichung]],EFs_Pendeln[],6,FALSE),"")</f>
        <v/>
      </c>
      <c r="P176" s="15" t="str">
        <f>IFERROR(VLOOKUP(Pendeln_Mitarbeitende[[#This Row],[Thema_Bezeichung]],EFs_Pendeln[],7,FALSE),"")</f>
        <v/>
      </c>
      <c r="Q176" s="15" t="str">
        <f>IFERROR(Pendeln_Mitarbeitende[[#This Row],[Wert 
(Zahl)]]*Pendeln_Mitarbeitende[[#This Row],[Scope 1 Emissionsfaktor '[kg CO2e/Einheit']]],"")</f>
        <v/>
      </c>
      <c r="R176" s="15" t="str">
        <f>IFERROR(Pendeln_Mitarbeitende[[#This Row],[Wert 
(Zahl)]]*Pendeln_Mitarbeitende[[#This Row],[Scope 2 Emissionsfaktor '[kg CO2e/Einheit']]],"")</f>
        <v/>
      </c>
      <c r="S176" s="15" t="str">
        <f>IFERROR(Pendeln_Mitarbeitende[[#This Row],[Wert 
(Zahl)]]*Pendeln_Mitarbeitende[[#This Row],[Scope 3 Emissionsfaktor '[kg CO2e/Einheit']]],"")</f>
        <v/>
      </c>
    </row>
    <row r="177" spans="2:22" s="95" customFormat="1" x14ac:dyDescent="0.35">
      <c r="B177" s="407"/>
      <c r="C177" s="10" t="str">
        <f t="shared" si="5"/>
        <v>Pendeln_Mitarbeitende</v>
      </c>
      <c r="D177" s="96"/>
      <c r="E177" s="96"/>
      <c r="F177" s="313"/>
      <c r="G177" s="10" t="str">
        <f>IFERROR(VLOOKUP(Pendeln_Mitarbeitende[[#This Row],[Thema_Bezeichung]],Emissionsfaktoren!$C$9:$N$201,4,FALSE),"")</f>
        <v/>
      </c>
      <c r="H177" s="96"/>
      <c r="I177" s="96"/>
      <c r="J177" s="96"/>
      <c r="K177" s="314" t="str">
        <f>IF(ISBLANK(Pendeln_Mitarbeitende[[#This Row],[Wert 
(Zahl)]]),"", SUM(Pendeln_Mitarbeitende[[#This Row],[Scope 1 Ergebnis location-based '[kg CO2e']]:[Scope 3 Ergebnis location-based '[kg CO2e']]]))</f>
        <v/>
      </c>
      <c r="L177" s="166"/>
      <c r="M177" s="15" t="str">
        <f>IF(ISBLANK(Pendeln_Mitarbeitende[[#This Row],[Emissionsquelle/Aktivität (Dropdown)]]),"",CONCATENATE(Pendeln_Mitarbeitende[[#This Row],[Sektor_Thema]]," - ",Pendeln_Mitarbeitende[[#This Row],[Emissionsquelle/Aktivität (Dropdown)]]))</f>
        <v/>
      </c>
      <c r="N177" s="15" t="str">
        <f>IFERROR(VLOOKUP(Pendeln_Mitarbeitende[[#This Row],[Thema_Bezeichung]],EFs_Pendeln[],5,FALSE),"")</f>
        <v/>
      </c>
      <c r="O177" s="15" t="str">
        <f>IFERROR(VLOOKUP(Pendeln_Mitarbeitende[[#This Row],[Thema_Bezeichung]],EFs_Pendeln[],6,FALSE),"")</f>
        <v/>
      </c>
      <c r="P177" s="15" t="str">
        <f>IFERROR(VLOOKUP(Pendeln_Mitarbeitende[[#This Row],[Thema_Bezeichung]],EFs_Pendeln[],7,FALSE),"")</f>
        <v/>
      </c>
      <c r="Q177" s="15" t="str">
        <f>IFERROR(Pendeln_Mitarbeitende[[#This Row],[Wert 
(Zahl)]]*Pendeln_Mitarbeitende[[#This Row],[Scope 1 Emissionsfaktor '[kg CO2e/Einheit']]],"")</f>
        <v/>
      </c>
      <c r="R177" s="15" t="str">
        <f>IFERROR(Pendeln_Mitarbeitende[[#This Row],[Wert 
(Zahl)]]*Pendeln_Mitarbeitende[[#This Row],[Scope 2 Emissionsfaktor '[kg CO2e/Einheit']]],"")</f>
        <v/>
      </c>
      <c r="S177" s="15" t="str">
        <f>IFERROR(Pendeln_Mitarbeitende[[#This Row],[Wert 
(Zahl)]]*Pendeln_Mitarbeitende[[#This Row],[Scope 3 Emissionsfaktor '[kg CO2e/Einheit']]],"")</f>
        <v/>
      </c>
    </row>
    <row r="178" spans="2:22" s="95" customFormat="1" x14ac:dyDescent="0.35">
      <c r="B178" s="407"/>
      <c r="C178" s="10" t="str">
        <f t="shared" si="5"/>
        <v>Pendeln_Mitarbeitende</v>
      </c>
      <c r="D178" s="96"/>
      <c r="E178" s="96"/>
      <c r="F178" s="313"/>
      <c r="G178" s="10" t="str">
        <f>IFERROR(VLOOKUP(Pendeln_Mitarbeitende[[#This Row],[Thema_Bezeichung]],Emissionsfaktoren!$C$9:$N$201,4,FALSE),"")</f>
        <v/>
      </c>
      <c r="H178" s="96"/>
      <c r="I178" s="96"/>
      <c r="J178" s="96"/>
      <c r="K178" s="314" t="str">
        <f>IF(ISBLANK(Pendeln_Mitarbeitende[[#This Row],[Wert 
(Zahl)]]),"", SUM(Pendeln_Mitarbeitende[[#This Row],[Scope 1 Ergebnis location-based '[kg CO2e']]:[Scope 3 Ergebnis location-based '[kg CO2e']]]))</f>
        <v/>
      </c>
      <c r="L178" s="166"/>
      <c r="M178" s="15" t="str">
        <f>IF(ISBLANK(Pendeln_Mitarbeitende[[#This Row],[Emissionsquelle/Aktivität (Dropdown)]]),"",CONCATENATE(Pendeln_Mitarbeitende[[#This Row],[Sektor_Thema]]," - ",Pendeln_Mitarbeitende[[#This Row],[Emissionsquelle/Aktivität (Dropdown)]]))</f>
        <v/>
      </c>
      <c r="N178" s="15" t="str">
        <f>IFERROR(VLOOKUP(Pendeln_Mitarbeitende[[#This Row],[Thema_Bezeichung]],EFs_Pendeln[],5,FALSE),"")</f>
        <v/>
      </c>
      <c r="O178" s="15" t="str">
        <f>IFERROR(VLOOKUP(Pendeln_Mitarbeitende[[#This Row],[Thema_Bezeichung]],EFs_Pendeln[],6,FALSE),"")</f>
        <v/>
      </c>
      <c r="P178" s="15" t="str">
        <f>IFERROR(VLOOKUP(Pendeln_Mitarbeitende[[#This Row],[Thema_Bezeichung]],EFs_Pendeln[],7,FALSE),"")</f>
        <v/>
      </c>
      <c r="Q178" s="15" t="str">
        <f>IFERROR(Pendeln_Mitarbeitende[[#This Row],[Wert 
(Zahl)]]*Pendeln_Mitarbeitende[[#This Row],[Scope 1 Emissionsfaktor '[kg CO2e/Einheit']]],"")</f>
        <v/>
      </c>
      <c r="R178" s="15" t="str">
        <f>IFERROR(Pendeln_Mitarbeitende[[#This Row],[Wert 
(Zahl)]]*Pendeln_Mitarbeitende[[#This Row],[Scope 2 Emissionsfaktor '[kg CO2e/Einheit']]],"")</f>
        <v/>
      </c>
      <c r="S178" s="15" t="str">
        <f>IFERROR(Pendeln_Mitarbeitende[[#This Row],[Wert 
(Zahl)]]*Pendeln_Mitarbeitende[[#This Row],[Scope 3 Emissionsfaktor '[kg CO2e/Einheit']]],"")</f>
        <v/>
      </c>
    </row>
    <row r="179" spans="2:22" s="95" customFormat="1" x14ac:dyDescent="0.35">
      <c r="B179" s="407"/>
      <c r="C179" s="10" t="str">
        <f t="shared" si="5"/>
        <v>Pendeln_Mitarbeitende</v>
      </c>
      <c r="D179" s="96"/>
      <c r="E179" s="96"/>
      <c r="F179" s="313"/>
      <c r="G179" s="10" t="str">
        <f>IFERROR(VLOOKUP(Pendeln_Mitarbeitende[[#This Row],[Thema_Bezeichung]],Emissionsfaktoren!$C$9:$N$201,4,FALSE),"")</f>
        <v/>
      </c>
      <c r="H179" s="96"/>
      <c r="I179" s="96"/>
      <c r="J179" s="96"/>
      <c r="K179" s="314" t="str">
        <f>IF(ISBLANK(Pendeln_Mitarbeitende[[#This Row],[Wert 
(Zahl)]]),"", SUM(Pendeln_Mitarbeitende[[#This Row],[Scope 1 Ergebnis location-based '[kg CO2e']]:[Scope 3 Ergebnis location-based '[kg CO2e']]]))</f>
        <v/>
      </c>
      <c r="L179" s="166"/>
      <c r="M179" s="15" t="str">
        <f>IF(ISBLANK(Pendeln_Mitarbeitende[[#This Row],[Emissionsquelle/Aktivität (Dropdown)]]),"",CONCATENATE(Pendeln_Mitarbeitende[[#This Row],[Sektor_Thema]]," - ",Pendeln_Mitarbeitende[[#This Row],[Emissionsquelle/Aktivität (Dropdown)]]))</f>
        <v/>
      </c>
      <c r="N179" s="15" t="str">
        <f>IFERROR(VLOOKUP(Pendeln_Mitarbeitende[[#This Row],[Thema_Bezeichung]],EFs_Pendeln[],5,FALSE),"")</f>
        <v/>
      </c>
      <c r="O179" s="15" t="str">
        <f>IFERROR(VLOOKUP(Pendeln_Mitarbeitende[[#This Row],[Thema_Bezeichung]],EFs_Pendeln[],6,FALSE),"")</f>
        <v/>
      </c>
      <c r="P179" s="15" t="str">
        <f>IFERROR(VLOOKUP(Pendeln_Mitarbeitende[[#This Row],[Thema_Bezeichung]],EFs_Pendeln[],7,FALSE),"")</f>
        <v/>
      </c>
      <c r="Q179" s="15" t="str">
        <f>IFERROR(Pendeln_Mitarbeitende[[#This Row],[Wert 
(Zahl)]]*Pendeln_Mitarbeitende[[#This Row],[Scope 1 Emissionsfaktor '[kg CO2e/Einheit']]],"")</f>
        <v/>
      </c>
      <c r="R179" s="15" t="str">
        <f>IFERROR(Pendeln_Mitarbeitende[[#This Row],[Wert 
(Zahl)]]*Pendeln_Mitarbeitende[[#This Row],[Scope 2 Emissionsfaktor '[kg CO2e/Einheit']]],"")</f>
        <v/>
      </c>
      <c r="S179" s="15" t="str">
        <f>IFERROR(Pendeln_Mitarbeitende[[#This Row],[Wert 
(Zahl)]]*Pendeln_Mitarbeitende[[#This Row],[Scope 3 Emissionsfaktor '[kg CO2e/Einheit']]],"")</f>
        <v/>
      </c>
    </row>
    <row r="180" spans="2:22" s="95" customFormat="1" x14ac:dyDescent="0.35">
      <c r="B180" s="407"/>
      <c r="C180" s="10" t="str">
        <f t="shared" si="5"/>
        <v>Pendeln_Mitarbeitende</v>
      </c>
      <c r="D180" s="96"/>
      <c r="E180" s="96"/>
      <c r="F180" s="313"/>
      <c r="G180" s="10" t="str">
        <f>IFERROR(VLOOKUP(Pendeln_Mitarbeitende[[#This Row],[Thema_Bezeichung]],Emissionsfaktoren!$C$9:$N$201,4,FALSE),"")</f>
        <v/>
      </c>
      <c r="H180" s="96"/>
      <c r="I180" s="96"/>
      <c r="J180" s="96"/>
      <c r="K180" s="314" t="str">
        <f>IF(ISBLANK(Pendeln_Mitarbeitende[[#This Row],[Wert 
(Zahl)]]),"", SUM(Pendeln_Mitarbeitende[[#This Row],[Scope 1 Ergebnis location-based '[kg CO2e']]:[Scope 3 Ergebnis location-based '[kg CO2e']]]))</f>
        <v/>
      </c>
      <c r="L180" s="166"/>
      <c r="M180" s="15" t="str">
        <f>IF(ISBLANK(Pendeln_Mitarbeitende[[#This Row],[Emissionsquelle/Aktivität (Dropdown)]]),"",CONCATENATE(Pendeln_Mitarbeitende[[#This Row],[Sektor_Thema]]," - ",Pendeln_Mitarbeitende[[#This Row],[Emissionsquelle/Aktivität (Dropdown)]]))</f>
        <v/>
      </c>
      <c r="N180" s="15" t="str">
        <f>IFERROR(VLOOKUP(Pendeln_Mitarbeitende[[#This Row],[Thema_Bezeichung]],EFs_Pendeln[],5,FALSE),"")</f>
        <v/>
      </c>
      <c r="O180" s="15" t="str">
        <f>IFERROR(VLOOKUP(Pendeln_Mitarbeitende[[#This Row],[Thema_Bezeichung]],EFs_Pendeln[],6,FALSE),"")</f>
        <v/>
      </c>
      <c r="P180" s="15" t="str">
        <f>IFERROR(VLOOKUP(Pendeln_Mitarbeitende[[#This Row],[Thema_Bezeichung]],EFs_Pendeln[],7,FALSE),"")</f>
        <v/>
      </c>
      <c r="Q180" s="15" t="str">
        <f>IFERROR(Pendeln_Mitarbeitende[[#This Row],[Wert 
(Zahl)]]*Pendeln_Mitarbeitende[[#This Row],[Scope 1 Emissionsfaktor '[kg CO2e/Einheit']]],"")</f>
        <v/>
      </c>
      <c r="R180" s="15" t="str">
        <f>IFERROR(Pendeln_Mitarbeitende[[#This Row],[Wert 
(Zahl)]]*Pendeln_Mitarbeitende[[#This Row],[Scope 2 Emissionsfaktor '[kg CO2e/Einheit']]],"")</f>
        <v/>
      </c>
      <c r="S180" s="15" t="str">
        <f>IFERROR(Pendeln_Mitarbeitende[[#This Row],[Wert 
(Zahl)]]*Pendeln_Mitarbeitende[[#This Row],[Scope 3 Emissionsfaktor '[kg CO2e/Einheit']]],"")</f>
        <v/>
      </c>
    </row>
    <row r="181" spans="2:22" s="95" customFormat="1" x14ac:dyDescent="0.35">
      <c r="B181" s="407"/>
      <c r="C181" s="10" t="str">
        <f t="shared" si="5"/>
        <v>Pendeln_Mitarbeitende</v>
      </c>
      <c r="D181" s="96"/>
      <c r="E181" s="96"/>
      <c r="F181" s="313"/>
      <c r="G181" s="10" t="str">
        <f>IFERROR(VLOOKUP(Pendeln_Mitarbeitende[[#This Row],[Thema_Bezeichung]],Emissionsfaktoren!$C$9:$N$201,4,FALSE),"")</f>
        <v/>
      </c>
      <c r="H181" s="96"/>
      <c r="I181" s="96"/>
      <c r="J181" s="96"/>
      <c r="K181" s="314" t="str">
        <f>IF(ISBLANK(Pendeln_Mitarbeitende[[#This Row],[Wert 
(Zahl)]]),"", SUM(Pendeln_Mitarbeitende[[#This Row],[Scope 1 Ergebnis location-based '[kg CO2e']]:[Scope 3 Ergebnis location-based '[kg CO2e']]]))</f>
        <v/>
      </c>
      <c r="L181" s="166"/>
      <c r="M181" s="15" t="str">
        <f>IF(ISBLANK(Pendeln_Mitarbeitende[[#This Row],[Emissionsquelle/Aktivität (Dropdown)]]),"",CONCATENATE(Pendeln_Mitarbeitende[[#This Row],[Sektor_Thema]]," - ",Pendeln_Mitarbeitende[[#This Row],[Emissionsquelle/Aktivität (Dropdown)]]))</f>
        <v/>
      </c>
      <c r="N181" s="15" t="str">
        <f>IFERROR(VLOOKUP(Pendeln_Mitarbeitende[[#This Row],[Thema_Bezeichung]],EFs_Pendeln[],5,FALSE),"")</f>
        <v/>
      </c>
      <c r="O181" s="15" t="str">
        <f>IFERROR(VLOOKUP(Pendeln_Mitarbeitende[[#This Row],[Thema_Bezeichung]],EFs_Pendeln[],6,FALSE),"")</f>
        <v/>
      </c>
      <c r="P181" s="15" t="str">
        <f>IFERROR(VLOOKUP(Pendeln_Mitarbeitende[[#This Row],[Thema_Bezeichung]],EFs_Pendeln[],7,FALSE),"")</f>
        <v/>
      </c>
      <c r="Q181" s="15" t="str">
        <f>IFERROR(Pendeln_Mitarbeitende[[#This Row],[Wert 
(Zahl)]]*Pendeln_Mitarbeitende[[#This Row],[Scope 1 Emissionsfaktor '[kg CO2e/Einheit']]],"")</f>
        <v/>
      </c>
      <c r="R181" s="15" t="str">
        <f>IFERROR(Pendeln_Mitarbeitende[[#This Row],[Wert 
(Zahl)]]*Pendeln_Mitarbeitende[[#This Row],[Scope 2 Emissionsfaktor '[kg CO2e/Einheit']]],"")</f>
        <v/>
      </c>
      <c r="S181" s="15" t="str">
        <f>IFERROR(Pendeln_Mitarbeitende[[#This Row],[Wert 
(Zahl)]]*Pendeln_Mitarbeitende[[#This Row],[Scope 3 Emissionsfaktor '[kg CO2e/Einheit']]],"")</f>
        <v/>
      </c>
    </row>
    <row r="182" spans="2:22" s="95" customFormat="1" x14ac:dyDescent="0.35">
      <c r="B182" s="407"/>
      <c r="C182" s="96" t="str">
        <f t="shared" si="5"/>
        <v>Pendeln_Mitarbeitende</v>
      </c>
      <c r="D182" s="96"/>
      <c r="E182" s="96"/>
      <c r="F182" s="313"/>
      <c r="G182" s="96" t="str">
        <f>IFERROR(VLOOKUP(Pendeln_Mitarbeitende[[#This Row],[Thema_Bezeichung]],Emissionsfaktoren!$C$9:$N$201,4,FALSE),"")</f>
        <v/>
      </c>
      <c r="H182" s="96"/>
      <c r="I182" s="96"/>
      <c r="J182" s="96"/>
      <c r="K182" s="315" t="str">
        <f>IF(ISBLANK(Pendeln_Mitarbeitende[[#This Row],[Wert 
(Zahl)]]),"", SUM(Pendeln_Mitarbeitende[[#This Row],[Scope 1 Ergebnis location-based '[kg CO2e']]:[Scope 3 Ergebnis location-based '[kg CO2e']]]))</f>
        <v/>
      </c>
      <c r="L182" s="167"/>
      <c r="M182" s="100" t="str">
        <f>IF(ISBLANK(Pendeln_Mitarbeitende[[#This Row],[Emissionsquelle/Aktivität (Dropdown)]]),"",CONCATENATE(Pendeln_Mitarbeitende[[#This Row],[Sektor_Thema]]," - ",Pendeln_Mitarbeitende[[#This Row],[Emissionsquelle/Aktivität (Dropdown)]]))</f>
        <v/>
      </c>
      <c r="N182" s="100" t="str">
        <f>IFERROR(VLOOKUP(Pendeln_Mitarbeitende[[#This Row],[Thema_Bezeichung]],EFs_Pendeln[],5,FALSE),"")</f>
        <v/>
      </c>
      <c r="O182" s="100" t="str">
        <f>IFERROR(VLOOKUP(Pendeln_Mitarbeitende[[#This Row],[Thema_Bezeichung]],EFs_Pendeln[],6,FALSE),"")</f>
        <v/>
      </c>
      <c r="P182" s="100" t="str">
        <f>IFERROR(VLOOKUP(Pendeln_Mitarbeitende[[#This Row],[Thema_Bezeichung]],EFs_Pendeln[],7,FALSE),"")</f>
        <v/>
      </c>
      <c r="Q182" s="100" t="str">
        <f>IFERROR(Pendeln_Mitarbeitende[[#This Row],[Wert 
(Zahl)]]*Pendeln_Mitarbeitende[[#This Row],[Scope 1 Emissionsfaktor '[kg CO2e/Einheit']]],"")</f>
        <v/>
      </c>
      <c r="R182" s="100" t="str">
        <f>IFERROR(Pendeln_Mitarbeitende[[#This Row],[Wert 
(Zahl)]]*Pendeln_Mitarbeitende[[#This Row],[Scope 2 Emissionsfaktor '[kg CO2e/Einheit']]],"")</f>
        <v/>
      </c>
      <c r="S182" s="100" t="str">
        <f>IFERROR(Pendeln_Mitarbeitende[[#This Row],[Wert 
(Zahl)]]*Pendeln_Mitarbeitende[[#This Row],[Scope 3 Emissionsfaktor '[kg CO2e/Einheit']]],"")</f>
        <v/>
      </c>
    </row>
    <row r="183" spans="2:22" s="95" customFormat="1" ht="15" thickBot="1" x14ac:dyDescent="0.4">
      <c r="B183" s="408"/>
      <c r="C183" s="96" t="str">
        <f t="shared" si="5"/>
        <v>Pendeln_Mitarbeitende</v>
      </c>
      <c r="D183" s="96"/>
      <c r="E183" s="96"/>
      <c r="F183" s="313"/>
      <c r="G183" s="96" t="str">
        <f>IFERROR(VLOOKUP(Pendeln_Mitarbeitende[[#This Row],[Thema_Bezeichung]],Emissionsfaktoren!$C$9:$N$201,4,FALSE),"")</f>
        <v/>
      </c>
      <c r="H183" s="96"/>
      <c r="I183" s="96"/>
      <c r="J183" s="96"/>
      <c r="K183" s="315" t="str">
        <f>IF(ISBLANK(Pendeln_Mitarbeitende[[#This Row],[Wert 
(Zahl)]]),"", SUM(Pendeln_Mitarbeitende[[#This Row],[Scope 1 Ergebnis location-based '[kg CO2e']]:[Scope 3 Ergebnis location-based '[kg CO2e']]]))</f>
        <v/>
      </c>
      <c r="L183" s="167"/>
      <c r="M183" s="100" t="str">
        <f>IF(ISBLANK(Pendeln_Mitarbeitende[[#This Row],[Emissionsquelle/Aktivität (Dropdown)]]),"",CONCATENATE(Pendeln_Mitarbeitende[[#This Row],[Sektor_Thema]]," - ",Pendeln_Mitarbeitende[[#This Row],[Emissionsquelle/Aktivität (Dropdown)]]))</f>
        <v/>
      </c>
      <c r="N183" s="100" t="str">
        <f>IFERROR(VLOOKUP(Pendeln_Mitarbeitende[[#This Row],[Thema_Bezeichung]],EFs_Pendeln[],5,FALSE),"")</f>
        <v/>
      </c>
      <c r="O183" s="100" t="str">
        <f>IFERROR(VLOOKUP(Pendeln_Mitarbeitende[[#This Row],[Thema_Bezeichung]],EFs_Pendeln[],6,FALSE),"")</f>
        <v/>
      </c>
      <c r="P183" s="100" t="str">
        <f>IFERROR(VLOOKUP(Pendeln_Mitarbeitende[[#This Row],[Thema_Bezeichung]],EFs_Pendeln[],7,FALSE),"")</f>
        <v/>
      </c>
      <c r="Q183" s="100" t="str">
        <f>IFERROR(Pendeln_Mitarbeitende[[#This Row],[Wert 
(Zahl)]]*Pendeln_Mitarbeitende[[#This Row],[Scope 1 Emissionsfaktor '[kg CO2e/Einheit']]],"")</f>
        <v/>
      </c>
      <c r="R183" s="100" t="str">
        <f>IFERROR(Pendeln_Mitarbeitende[[#This Row],[Wert 
(Zahl)]]*Pendeln_Mitarbeitende[[#This Row],[Scope 2 Emissionsfaktor '[kg CO2e/Einheit']]],"")</f>
        <v/>
      </c>
      <c r="S183" s="100" t="str">
        <f>IFERROR(Pendeln_Mitarbeitende[[#This Row],[Wert 
(Zahl)]]*Pendeln_Mitarbeitende[[#This Row],[Scope 3 Emissionsfaktor '[kg CO2e/Einheit']]],"")</f>
        <v/>
      </c>
    </row>
    <row r="184" spans="2:22" s="3" customFormat="1" ht="15" thickTop="1" x14ac:dyDescent="0.35">
      <c r="B184" s="13"/>
      <c r="C184" s="2"/>
      <c r="D184" s="2" t="s">
        <v>226</v>
      </c>
      <c r="E184" s="2"/>
      <c r="F184" s="2"/>
      <c r="G184" s="2"/>
      <c r="H184" s="2"/>
      <c r="I184" s="2"/>
      <c r="J184" s="2"/>
      <c r="K184" s="316">
        <f>SUBTOTAL(109,Pendeln_Mitarbeitende[Ergebnis '[kg CO2e'] (vorausgefüllt)])</f>
        <v>0</v>
      </c>
      <c r="L184" s="173"/>
      <c r="M184" s="2"/>
      <c r="N184" s="2"/>
      <c r="O184" s="2"/>
      <c r="P184" s="2"/>
      <c r="Q184" s="2">
        <f>SUBTOTAL(109,Pendeln_Mitarbeitende[Scope 1 Ergebnis location-based '[kg CO2e']])</f>
        <v>0</v>
      </c>
      <c r="R184" s="2">
        <f>SUBTOTAL(109,Pendeln_Mitarbeitende[Scope 2 Ergebnis location-based '[kg CO2e']])</f>
        <v>0</v>
      </c>
      <c r="S184" s="2">
        <f>SUBTOTAL(109,Pendeln_Mitarbeitende[Scope 3 Ergebnis location-based '[kg CO2e']])</f>
        <v>0</v>
      </c>
    </row>
    <row r="185" spans="2:22" s="1" customFormat="1" ht="120" customHeight="1" x14ac:dyDescent="0.35">
      <c r="B185" s="197" t="s">
        <v>85</v>
      </c>
      <c r="C185" s="87"/>
      <c r="D185" s="86"/>
      <c r="E185"/>
      <c r="F185"/>
      <c r="G185"/>
      <c r="H185"/>
      <c r="I185"/>
      <c r="J185"/>
      <c r="K185"/>
      <c r="L185" s="169"/>
      <c r="M185"/>
      <c r="N185"/>
      <c r="O185"/>
      <c r="P185"/>
      <c r="Q185"/>
      <c r="R185"/>
      <c r="S185"/>
      <c r="T185"/>
      <c r="U185"/>
      <c r="V185"/>
    </row>
    <row r="186" spans="2:22" x14ac:dyDescent="0.35">
      <c r="B186" s="135" t="s">
        <v>86</v>
      </c>
      <c r="L186" s="169"/>
    </row>
    <row r="187" spans="2:22" ht="18.5" x14ac:dyDescent="0.45">
      <c r="B187" s="134" t="s">
        <v>144</v>
      </c>
      <c r="L187" s="169"/>
    </row>
    <row r="188" spans="2:22" ht="94.5" customHeight="1" x14ac:dyDescent="0.35">
      <c r="B188" s="298" t="s">
        <v>93</v>
      </c>
      <c r="C188" s="300"/>
      <c r="D188" s="404" t="s">
        <v>401</v>
      </c>
      <c r="E188" s="404"/>
      <c r="F188" s="404"/>
      <c r="G188" s="404"/>
      <c r="H188" s="404"/>
      <c r="I188" s="405"/>
      <c r="L188" s="169"/>
    </row>
    <row r="189" spans="2:22" x14ac:dyDescent="0.35">
      <c r="C189" t="s">
        <v>144</v>
      </c>
      <c r="L189" s="169"/>
    </row>
    <row r="190" spans="2:22" ht="44" thickBot="1" x14ac:dyDescent="0.4">
      <c r="B190" s="10"/>
      <c r="C190" s="27" t="s">
        <v>51</v>
      </c>
      <c r="D190" s="27" t="s">
        <v>214</v>
      </c>
      <c r="E190" s="27" t="s">
        <v>71</v>
      </c>
      <c r="F190" s="27" t="s">
        <v>72</v>
      </c>
      <c r="G190" s="103" t="s">
        <v>84</v>
      </c>
      <c r="H190" s="27" t="s">
        <v>135</v>
      </c>
      <c r="I190" s="103" t="s">
        <v>80</v>
      </c>
      <c r="J190" s="103" t="s">
        <v>81</v>
      </c>
      <c r="K190" s="164" t="s">
        <v>243</v>
      </c>
      <c r="L190" s="171" t="s">
        <v>133</v>
      </c>
      <c r="M190" s="103" t="s">
        <v>241</v>
      </c>
      <c r="N190" s="103" t="s">
        <v>87</v>
      </c>
      <c r="O190" s="103" t="s">
        <v>89</v>
      </c>
      <c r="P190" s="103" t="s">
        <v>88</v>
      </c>
      <c r="Q190" s="103" t="s">
        <v>92</v>
      </c>
      <c r="R190" s="103" t="s">
        <v>91</v>
      </c>
      <c r="S190" s="103" t="s">
        <v>90</v>
      </c>
    </row>
    <row r="191" spans="2:22" s="95" customFormat="1" ht="15" thickTop="1" x14ac:dyDescent="0.35">
      <c r="B191" s="406" t="s">
        <v>144</v>
      </c>
      <c r="C191" s="10" t="str">
        <f t="shared" ref="C191:C210" si="6">$C$189</f>
        <v>Externe</v>
      </c>
      <c r="D191" s="96"/>
      <c r="E191" s="96"/>
      <c r="F191" s="313"/>
      <c r="G191" s="10" t="str">
        <f>IFERROR(VLOOKUP(Externe[[#This Row],[Thema_Bezeichung]],Emissionsfaktoren!$C$9:$N$201,4,FALSE),"")</f>
        <v/>
      </c>
      <c r="H191" s="96"/>
      <c r="I191" s="96"/>
      <c r="J191" s="96"/>
      <c r="K191" s="314" t="str">
        <f>IF(ISBLANK(Externe[[#This Row],[Wert 
(Zahl)]]),"", SUM(Externe[[#This Row],[Scope 1 Ergebnis location-based '[kg CO2e']]:[Scope 3 Ergebnis location-based '[kg CO2e']]]))</f>
        <v/>
      </c>
      <c r="L191" s="166"/>
      <c r="M191" s="15" t="str">
        <f>IF(ISBLANK(Externe[[#This Row],[Emissionsquelle/Aktivität (Dropdown)]]),"",CONCATENATE(Externe[[#This Row],[Sektor_Thema]]," - ",Externe[[#This Row],[Emissionsquelle/Aktivität (Dropdown)]]))</f>
        <v/>
      </c>
      <c r="N191" s="15" t="str">
        <f>IFERROR(VLOOKUP(Externe[[#This Row],[Thema_Bezeichung]],EFs_Externe[],5,FALSE),"")</f>
        <v/>
      </c>
      <c r="O191" s="15" t="str">
        <f>IFERROR(VLOOKUP(Externe[[#This Row],[Thema_Bezeichung]],EFs_Externe[],6,FALSE),"")</f>
        <v/>
      </c>
      <c r="P191" s="15" t="str">
        <f>IFERROR(VLOOKUP(Externe[[#This Row],[Thema_Bezeichung]],EFs_Externe[],7,FALSE),"")</f>
        <v/>
      </c>
      <c r="Q191" s="15" t="str">
        <f>IFERROR(Externe[[#This Row],[Wert 
(Zahl)]]*Externe[[#This Row],[Scope 1 Emissionsfaktor '[kg CO2e/Einheit']]],"")</f>
        <v/>
      </c>
      <c r="R191" s="15" t="str">
        <f>IFERROR(Externe[[#This Row],[Wert 
(Zahl)]]*Externe[[#This Row],[Scope 2 Emissionsfaktor '[kg CO2e/Einheit']]],"")</f>
        <v/>
      </c>
      <c r="S191" s="15" t="str">
        <f>IFERROR(Externe[[#This Row],[Wert 
(Zahl)]]*Externe[[#This Row],[Scope 3 Emissionsfaktor '[kg CO2e/Einheit']]],"")</f>
        <v/>
      </c>
    </row>
    <row r="192" spans="2:22" s="95" customFormat="1" x14ac:dyDescent="0.35">
      <c r="B192" s="407"/>
      <c r="C192" s="10" t="str">
        <f t="shared" si="6"/>
        <v>Externe</v>
      </c>
      <c r="D192" s="96"/>
      <c r="E192" s="96"/>
      <c r="F192" s="313"/>
      <c r="G192" s="10" t="str">
        <f>IFERROR(VLOOKUP(Externe[[#This Row],[Thema_Bezeichung]],Emissionsfaktoren!$C$9:$N$201,4,FALSE),"")</f>
        <v/>
      </c>
      <c r="H192" s="96"/>
      <c r="I192" s="96"/>
      <c r="J192" s="96"/>
      <c r="K192" s="314" t="str">
        <f>IF(ISBLANK(Externe[[#This Row],[Wert 
(Zahl)]]),"", SUM(Externe[[#This Row],[Scope 1 Ergebnis location-based '[kg CO2e']]:[Scope 3 Ergebnis location-based '[kg CO2e']]]))</f>
        <v/>
      </c>
      <c r="L192" s="166"/>
      <c r="M192" s="15" t="str">
        <f>IF(ISBLANK(Externe[[#This Row],[Emissionsquelle/Aktivität (Dropdown)]]),"",CONCATENATE(Externe[[#This Row],[Sektor_Thema]]," - ",Externe[[#This Row],[Emissionsquelle/Aktivität (Dropdown)]]))</f>
        <v/>
      </c>
      <c r="N192" s="15" t="str">
        <f>IFERROR(VLOOKUP(Externe[[#This Row],[Thema_Bezeichung]],EFs_Externe[],5,FALSE),"")</f>
        <v/>
      </c>
      <c r="O192" s="15" t="str">
        <f>IFERROR(VLOOKUP(Externe[[#This Row],[Thema_Bezeichung]],EFs_Externe[],6,FALSE),"")</f>
        <v/>
      </c>
      <c r="P192" s="15" t="str">
        <f>IFERROR(VLOOKUP(Externe[[#This Row],[Thema_Bezeichung]],EFs_Externe[],7,FALSE),"")</f>
        <v/>
      </c>
      <c r="Q192" s="15" t="str">
        <f>IFERROR(Externe[[#This Row],[Wert 
(Zahl)]]*Externe[[#This Row],[Scope 1 Emissionsfaktor '[kg CO2e/Einheit']]],"")</f>
        <v/>
      </c>
      <c r="R192" s="15" t="str">
        <f>IFERROR(Externe[[#This Row],[Wert 
(Zahl)]]*Externe[[#This Row],[Scope 2 Emissionsfaktor '[kg CO2e/Einheit']]],"")</f>
        <v/>
      </c>
      <c r="S192" s="15" t="str">
        <f>IFERROR(Externe[[#This Row],[Wert 
(Zahl)]]*Externe[[#This Row],[Scope 3 Emissionsfaktor '[kg CO2e/Einheit']]],"")</f>
        <v/>
      </c>
    </row>
    <row r="193" spans="2:19" s="95" customFormat="1" x14ac:dyDescent="0.35">
      <c r="B193" s="407"/>
      <c r="C193" s="10" t="str">
        <f t="shared" si="6"/>
        <v>Externe</v>
      </c>
      <c r="D193" s="96"/>
      <c r="E193" s="96"/>
      <c r="F193" s="313"/>
      <c r="G193" s="10" t="str">
        <f>IFERROR(VLOOKUP(Externe[[#This Row],[Thema_Bezeichung]],Emissionsfaktoren!$C$9:$N$201,4,FALSE),"")</f>
        <v/>
      </c>
      <c r="H193" s="96"/>
      <c r="I193" s="96"/>
      <c r="J193" s="96"/>
      <c r="K193" s="314" t="str">
        <f>IF(ISBLANK(Externe[[#This Row],[Wert 
(Zahl)]]),"", SUM(Externe[[#This Row],[Scope 1 Ergebnis location-based '[kg CO2e']]:[Scope 3 Ergebnis location-based '[kg CO2e']]]))</f>
        <v/>
      </c>
      <c r="L193" s="166"/>
      <c r="M193" s="15" t="str">
        <f>IF(ISBLANK(Externe[[#This Row],[Emissionsquelle/Aktivität (Dropdown)]]),"",CONCATENATE(Externe[[#This Row],[Sektor_Thema]]," - ",Externe[[#This Row],[Emissionsquelle/Aktivität (Dropdown)]]))</f>
        <v/>
      </c>
      <c r="N193" s="15" t="str">
        <f>IFERROR(VLOOKUP(Externe[[#This Row],[Thema_Bezeichung]],EFs_Externe[],5,FALSE),"")</f>
        <v/>
      </c>
      <c r="O193" s="15" t="str">
        <f>IFERROR(VLOOKUP(Externe[[#This Row],[Thema_Bezeichung]],EFs_Externe[],6,FALSE),"")</f>
        <v/>
      </c>
      <c r="P193" s="15" t="str">
        <f>IFERROR(VLOOKUP(Externe[[#This Row],[Thema_Bezeichung]],EFs_Externe[],7,FALSE),"")</f>
        <v/>
      </c>
      <c r="Q193" s="15" t="str">
        <f>IFERROR(Externe[[#This Row],[Wert 
(Zahl)]]*Externe[[#This Row],[Scope 1 Emissionsfaktor '[kg CO2e/Einheit']]],"")</f>
        <v/>
      </c>
      <c r="R193" s="15" t="str">
        <f>IFERROR(Externe[[#This Row],[Wert 
(Zahl)]]*Externe[[#This Row],[Scope 2 Emissionsfaktor '[kg CO2e/Einheit']]],"")</f>
        <v/>
      </c>
      <c r="S193" s="15" t="str">
        <f>IFERROR(Externe[[#This Row],[Wert 
(Zahl)]]*Externe[[#This Row],[Scope 3 Emissionsfaktor '[kg CO2e/Einheit']]],"")</f>
        <v/>
      </c>
    </row>
    <row r="194" spans="2:19" s="95" customFormat="1" x14ac:dyDescent="0.35">
      <c r="B194" s="407"/>
      <c r="C194" s="10" t="str">
        <f t="shared" si="6"/>
        <v>Externe</v>
      </c>
      <c r="D194" s="96"/>
      <c r="E194" s="96"/>
      <c r="F194" s="313"/>
      <c r="G194" s="10" t="str">
        <f>IFERROR(VLOOKUP(Externe[[#This Row],[Thema_Bezeichung]],Emissionsfaktoren!$C$9:$N$201,4,FALSE),"")</f>
        <v/>
      </c>
      <c r="H194" s="96"/>
      <c r="I194" s="96"/>
      <c r="J194" s="96"/>
      <c r="K194" s="314" t="str">
        <f>IF(ISBLANK(Externe[[#This Row],[Wert 
(Zahl)]]),"", SUM(Externe[[#This Row],[Scope 1 Ergebnis location-based '[kg CO2e']]:[Scope 3 Ergebnis location-based '[kg CO2e']]]))</f>
        <v/>
      </c>
      <c r="L194" s="166"/>
      <c r="M194" s="15" t="str">
        <f>IF(ISBLANK(Externe[[#This Row],[Emissionsquelle/Aktivität (Dropdown)]]),"",CONCATENATE(Externe[[#This Row],[Sektor_Thema]]," - ",Externe[[#This Row],[Emissionsquelle/Aktivität (Dropdown)]]))</f>
        <v/>
      </c>
      <c r="N194" s="15" t="str">
        <f>IFERROR(VLOOKUP(Externe[[#This Row],[Thema_Bezeichung]],EFs_Externe[],5,FALSE),"")</f>
        <v/>
      </c>
      <c r="O194" s="15" t="str">
        <f>IFERROR(VLOOKUP(Externe[[#This Row],[Thema_Bezeichung]],EFs_Externe[],6,FALSE),"")</f>
        <v/>
      </c>
      <c r="P194" s="15" t="str">
        <f>IFERROR(VLOOKUP(Externe[[#This Row],[Thema_Bezeichung]],EFs_Externe[],7,FALSE),"")</f>
        <v/>
      </c>
      <c r="Q194" s="15" t="str">
        <f>IFERROR(Externe[[#This Row],[Wert 
(Zahl)]]*Externe[[#This Row],[Scope 1 Emissionsfaktor '[kg CO2e/Einheit']]],"")</f>
        <v/>
      </c>
      <c r="R194" s="15" t="str">
        <f>IFERROR(Externe[[#This Row],[Wert 
(Zahl)]]*Externe[[#This Row],[Scope 2 Emissionsfaktor '[kg CO2e/Einheit']]],"")</f>
        <v/>
      </c>
      <c r="S194" s="15" t="str">
        <f>IFERROR(Externe[[#This Row],[Wert 
(Zahl)]]*Externe[[#This Row],[Scope 3 Emissionsfaktor '[kg CO2e/Einheit']]],"")</f>
        <v/>
      </c>
    </row>
    <row r="195" spans="2:19" s="95" customFormat="1" x14ac:dyDescent="0.35">
      <c r="B195" s="407"/>
      <c r="C195" s="10" t="str">
        <f t="shared" si="6"/>
        <v>Externe</v>
      </c>
      <c r="D195" s="96"/>
      <c r="E195" s="96"/>
      <c r="F195" s="313"/>
      <c r="G195" s="10" t="str">
        <f>IFERROR(VLOOKUP(Externe[[#This Row],[Thema_Bezeichung]],Emissionsfaktoren!$C$9:$N$201,4,FALSE),"")</f>
        <v/>
      </c>
      <c r="H195" s="96"/>
      <c r="I195" s="96"/>
      <c r="J195" s="96"/>
      <c r="K195" s="314" t="str">
        <f>IF(ISBLANK(Externe[[#This Row],[Wert 
(Zahl)]]),"", SUM(Externe[[#This Row],[Scope 1 Ergebnis location-based '[kg CO2e']]:[Scope 3 Ergebnis location-based '[kg CO2e']]]))</f>
        <v/>
      </c>
      <c r="L195" s="166"/>
      <c r="M195" s="15" t="str">
        <f>IF(ISBLANK(Externe[[#This Row],[Emissionsquelle/Aktivität (Dropdown)]]),"",CONCATENATE(Externe[[#This Row],[Sektor_Thema]]," - ",Externe[[#This Row],[Emissionsquelle/Aktivität (Dropdown)]]))</f>
        <v/>
      </c>
      <c r="N195" s="15" t="str">
        <f>IFERROR(VLOOKUP(Externe[[#This Row],[Thema_Bezeichung]],EFs_Externe[],5,FALSE),"")</f>
        <v/>
      </c>
      <c r="O195" s="15" t="str">
        <f>IFERROR(VLOOKUP(Externe[[#This Row],[Thema_Bezeichung]],EFs_Externe[],6,FALSE),"")</f>
        <v/>
      </c>
      <c r="P195" s="15" t="str">
        <f>IFERROR(VLOOKUP(Externe[[#This Row],[Thema_Bezeichung]],EFs_Externe[],7,FALSE),"")</f>
        <v/>
      </c>
      <c r="Q195" s="15" t="str">
        <f>IFERROR(Externe[[#This Row],[Wert 
(Zahl)]]*Externe[[#This Row],[Scope 1 Emissionsfaktor '[kg CO2e/Einheit']]],"")</f>
        <v/>
      </c>
      <c r="R195" s="15" t="str">
        <f>IFERROR(Externe[[#This Row],[Wert 
(Zahl)]]*Externe[[#This Row],[Scope 2 Emissionsfaktor '[kg CO2e/Einheit']]],"")</f>
        <v/>
      </c>
      <c r="S195" s="15" t="str">
        <f>IFERROR(Externe[[#This Row],[Wert 
(Zahl)]]*Externe[[#This Row],[Scope 3 Emissionsfaktor '[kg CO2e/Einheit']]],"")</f>
        <v/>
      </c>
    </row>
    <row r="196" spans="2:19" s="95" customFormat="1" x14ac:dyDescent="0.35">
      <c r="B196" s="407"/>
      <c r="C196" s="10" t="str">
        <f t="shared" si="6"/>
        <v>Externe</v>
      </c>
      <c r="D196" s="96"/>
      <c r="E196" s="96"/>
      <c r="F196" s="313"/>
      <c r="G196" s="10" t="str">
        <f>IFERROR(VLOOKUP(Externe[[#This Row],[Thema_Bezeichung]],Emissionsfaktoren!$C$9:$N$201,4,FALSE),"")</f>
        <v/>
      </c>
      <c r="H196" s="96"/>
      <c r="I196" s="96"/>
      <c r="J196" s="96"/>
      <c r="K196" s="314" t="str">
        <f>IF(ISBLANK(Externe[[#This Row],[Wert 
(Zahl)]]),"", SUM(Externe[[#This Row],[Scope 1 Ergebnis location-based '[kg CO2e']]:[Scope 3 Ergebnis location-based '[kg CO2e']]]))</f>
        <v/>
      </c>
      <c r="L196" s="166"/>
      <c r="M196" s="15" t="str">
        <f>IF(ISBLANK(Externe[[#This Row],[Emissionsquelle/Aktivität (Dropdown)]]),"",CONCATENATE(Externe[[#This Row],[Sektor_Thema]]," - ",Externe[[#This Row],[Emissionsquelle/Aktivität (Dropdown)]]))</f>
        <v/>
      </c>
      <c r="N196" s="15" t="str">
        <f>IFERROR(VLOOKUP(Externe[[#This Row],[Thema_Bezeichung]],EFs_Externe[],5,FALSE),"")</f>
        <v/>
      </c>
      <c r="O196" s="15" t="str">
        <f>IFERROR(VLOOKUP(Externe[[#This Row],[Thema_Bezeichung]],EFs_Externe[],6,FALSE),"")</f>
        <v/>
      </c>
      <c r="P196" s="15" t="str">
        <f>IFERROR(VLOOKUP(Externe[[#This Row],[Thema_Bezeichung]],EFs_Externe[],7,FALSE),"")</f>
        <v/>
      </c>
      <c r="Q196" s="15" t="str">
        <f>IFERROR(Externe[[#This Row],[Wert 
(Zahl)]]*Externe[[#This Row],[Scope 1 Emissionsfaktor '[kg CO2e/Einheit']]],"")</f>
        <v/>
      </c>
      <c r="R196" s="15" t="str">
        <f>IFERROR(Externe[[#This Row],[Wert 
(Zahl)]]*Externe[[#This Row],[Scope 2 Emissionsfaktor '[kg CO2e/Einheit']]],"")</f>
        <v/>
      </c>
      <c r="S196" s="15" t="str">
        <f>IFERROR(Externe[[#This Row],[Wert 
(Zahl)]]*Externe[[#This Row],[Scope 3 Emissionsfaktor '[kg CO2e/Einheit']]],"")</f>
        <v/>
      </c>
    </row>
    <row r="197" spans="2:19" s="95" customFormat="1" x14ac:dyDescent="0.35">
      <c r="B197" s="407"/>
      <c r="C197" s="10" t="str">
        <f t="shared" si="6"/>
        <v>Externe</v>
      </c>
      <c r="D197" s="96"/>
      <c r="E197" s="96"/>
      <c r="F197" s="313"/>
      <c r="G197" s="10" t="str">
        <f>IFERROR(VLOOKUP(Externe[[#This Row],[Thema_Bezeichung]],Emissionsfaktoren!$C$9:$N$201,4,FALSE),"")</f>
        <v/>
      </c>
      <c r="H197" s="96"/>
      <c r="I197" s="96"/>
      <c r="J197" s="96"/>
      <c r="K197" s="314" t="str">
        <f>IF(ISBLANK(Externe[[#This Row],[Wert 
(Zahl)]]),"", SUM(Externe[[#This Row],[Scope 1 Ergebnis location-based '[kg CO2e']]:[Scope 3 Ergebnis location-based '[kg CO2e']]]))</f>
        <v/>
      </c>
      <c r="L197" s="166"/>
      <c r="M197" s="15" t="str">
        <f>IF(ISBLANK(Externe[[#This Row],[Emissionsquelle/Aktivität (Dropdown)]]),"",CONCATENATE(Externe[[#This Row],[Sektor_Thema]]," - ",Externe[[#This Row],[Emissionsquelle/Aktivität (Dropdown)]]))</f>
        <v/>
      </c>
      <c r="N197" s="15" t="str">
        <f>IFERROR(VLOOKUP(Externe[[#This Row],[Thema_Bezeichung]],EFs_Externe[],5,FALSE),"")</f>
        <v/>
      </c>
      <c r="O197" s="15" t="str">
        <f>IFERROR(VLOOKUP(Externe[[#This Row],[Thema_Bezeichung]],EFs_Externe[],6,FALSE),"")</f>
        <v/>
      </c>
      <c r="P197" s="15" t="str">
        <f>IFERROR(VLOOKUP(Externe[[#This Row],[Thema_Bezeichung]],EFs_Externe[],7,FALSE),"")</f>
        <v/>
      </c>
      <c r="Q197" s="15" t="str">
        <f>IFERROR(Externe[[#This Row],[Wert 
(Zahl)]]*Externe[[#This Row],[Scope 1 Emissionsfaktor '[kg CO2e/Einheit']]],"")</f>
        <v/>
      </c>
      <c r="R197" s="15" t="str">
        <f>IFERROR(Externe[[#This Row],[Wert 
(Zahl)]]*Externe[[#This Row],[Scope 2 Emissionsfaktor '[kg CO2e/Einheit']]],"")</f>
        <v/>
      </c>
      <c r="S197" s="15" t="str">
        <f>IFERROR(Externe[[#This Row],[Wert 
(Zahl)]]*Externe[[#This Row],[Scope 3 Emissionsfaktor '[kg CO2e/Einheit']]],"")</f>
        <v/>
      </c>
    </row>
    <row r="198" spans="2:19" s="95" customFormat="1" x14ac:dyDescent="0.35">
      <c r="B198" s="407"/>
      <c r="C198" s="10" t="str">
        <f t="shared" si="6"/>
        <v>Externe</v>
      </c>
      <c r="D198" s="96"/>
      <c r="E198" s="96"/>
      <c r="F198" s="313"/>
      <c r="G198" s="10" t="str">
        <f>IFERROR(VLOOKUP(Externe[[#This Row],[Thema_Bezeichung]],Emissionsfaktoren!$C$9:$N$201,4,FALSE),"")</f>
        <v/>
      </c>
      <c r="H198" s="96"/>
      <c r="I198" s="96"/>
      <c r="J198" s="96"/>
      <c r="K198" s="314" t="str">
        <f>IF(ISBLANK(Externe[[#This Row],[Wert 
(Zahl)]]),"", SUM(Externe[[#This Row],[Scope 1 Ergebnis location-based '[kg CO2e']]:[Scope 3 Ergebnis location-based '[kg CO2e']]]))</f>
        <v/>
      </c>
      <c r="L198" s="166"/>
      <c r="M198" s="15" t="str">
        <f>IF(ISBLANK(Externe[[#This Row],[Emissionsquelle/Aktivität (Dropdown)]]),"",CONCATENATE(Externe[[#This Row],[Sektor_Thema]]," - ",Externe[[#This Row],[Emissionsquelle/Aktivität (Dropdown)]]))</f>
        <v/>
      </c>
      <c r="N198" s="15" t="str">
        <f>IFERROR(VLOOKUP(Externe[[#This Row],[Thema_Bezeichung]],EFs_Externe[],5,FALSE),"")</f>
        <v/>
      </c>
      <c r="O198" s="15" t="str">
        <f>IFERROR(VLOOKUP(Externe[[#This Row],[Thema_Bezeichung]],EFs_Externe[],6,FALSE),"")</f>
        <v/>
      </c>
      <c r="P198" s="15" t="str">
        <f>IFERROR(VLOOKUP(Externe[[#This Row],[Thema_Bezeichung]],EFs_Externe[],7,FALSE),"")</f>
        <v/>
      </c>
      <c r="Q198" s="15" t="str">
        <f>IFERROR(Externe[[#This Row],[Wert 
(Zahl)]]*Externe[[#This Row],[Scope 1 Emissionsfaktor '[kg CO2e/Einheit']]],"")</f>
        <v/>
      </c>
      <c r="R198" s="15" t="str">
        <f>IFERROR(Externe[[#This Row],[Wert 
(Zahl)]]*Externe[[#This Row],[Scope 2 Emissionsfaktor '[kg CO2e/Einheit']]],"")</f>
        <v/>
      </c>
      <c r="S198" s="15" t="str">
        <f>IFERROR(Externe[[#This Row],[Wert 
(Zahl)]]*Externe[[#This Row],[Scope 3 Emissionsfaktor '[kg CO2e/Einheit']]],"")</f>
        <v/>
      </c>
    </row>
    <row r="199" spans="2:19" s="95" customFormat="1" x14ac:dyDescent="0.35">
      <c r="B199" s="407"/>
      <c r="C199" s="10" t="str">
        <f t="shared" si="6"/>
        <v>Externe</v>
      </c>
      <c r="D199" s="96"/>
      <c r="E199" s="96"/>
      <c r="F199" s="313"/>
      <c r="G199" s="10" t="str">
        <f>IFERROR(VLOOKUP(Externe[[#This Row],[Thema_Bezeichung]],Emissionsfaktoren!$C$9:$N$201,4,FALSE),"")</f>
        <v/>
      </c>
      <c r="H199" s="96"/>
      <c r="I199" s="96"/>
      <c r="J199" s="96"/>
      <c r="K199" s="314" t="str">
        <f>IF(ISBLANK(Externe[[#This Row],[Wert 
(Zahl)]]),"", SUM(Externe[[#This Row],[Scope 1 Ergebnis location-based '[kg CO2e']]:[Scope 3 Ergebnis location-based '[kg CO2e']]]))</f>
        <v/>
      </c>
      <c r="L199" s="166"/>
      <c r="M199" s="15" t="str">
        <f>IF(ISBLANK(Externe[[#This Row],[Emissionsquelle/Aktivität (Dropdown)]]),"",CONCATENATE(Externe[[#This Row],[Sektor_Thema]]," - ",Externe[[#This Row],[Emissionsquelle/Aktivität (Dropdown)]]))</f>
        <v/>
      </c>
      <c r="N199" s="15" t="str">
        <f>IFERROR(VLOOKUP(Externe[[#This Row],[Thema_Bezeichung]],EFs_Externe[],5,FALSE),"")</f>
        <v/>
      </c>
      <c r="O199" s="15" t="str">
        <f>IFERROR(VLOOKUP(Externe[[#This Row],[Thema_Bezeichung]],EFs_Externe[],6,FALSE),"")</f>
        <v/>
      </c>
      <c r="P199" s="15" t="str">
        <f>IFERROR(VLOOKUP(Externe[[#This Row],[Thema_Bezeichung]],EFs_Externe[],7,FALSE),"")</f>
        <v/>
      </c>
      <c r="Q199" s="15" t="str">
        <f>IFERROR(Externe[[#This Row],[Wert 
(Zahl)]]*Externe[[#This Row],[Scope 1 Emissionsfaktor '[kg CO2e/Einheit']]],"")</f>
        <v/>
      </c>
      <c r="R199" s="15" t="str">
        <f>IFERROR(Externe[[#This Row],[Wert 
(Zahl)]]*Externe[[#This Row],[Scope 2 Emissionsfaktor '[kg CO2e/Einheit']]],"")</f>
        <v/>
      </c>
      <c r="S199" s="15" t="str">
        <f>IFERROR(Externe[[#This Row],[Wert 
(Zahl)]]*Externe[[#This Row],[Scope 3 Emissionsfaktor '[kg CO2e/Einheit']]],"")</f>
        <v/>
      </c>
    </row>
    <row r="200" spans="2:19" s="95" customFormat="1" x14ac:dyDescent="0.35">
      <c r="B200" s="407"/>
      <c r="C200" s="10" t="str">
        <f t="shared" si="6"/>
        <v>Externe</v>
      </c>
      <c r="D200" s="96"/>
      <c r="E200" s="96"/>
      <c r="F200" s="313"/>
      <c r="G200" s="10" t="str">
        <f>IFERROR(VLOOKUP(Externe[[#This Row],[Thema_Bezeichung]],Emissionsfaktoren!$C$9:$N$201,4,FALSE),"")</f>
        <v/>
      </c>
      <c r="H200" s="96"/>
      <c r="I200" s="96"/>
      <c r="J200" s="96"/>
      <c r="K200" s="314" t="str">
        <f>IF(ISBLANK(Externe[[#This Row],[Wert 
(Zahl)]]),"", SUM(Externe[[#This Row],[Scope 1 Ergebnis location-based '[kg CO2e']]:[Scope 3 Ergebnis location-based '[kg CO2e']]]))</f>
        <v/>
      </c>
      <c r="L200" s="166"/>
      <c r="M200" s="15" t="str">
        <f>IF(ISBLANK(Externe[[#This Row],[Emissionsquelle/Aktivität (Dropdown)]]),"",CONCATENATE(Externe[[#This Row],[Sektor_Thema]]," - ",Externe[[#This Row],[Emissionsquelle/Aktivität (Dropdown)]]))</f>
        <v/>
      </c>
      <c r="N200" s="15" t="str">
        <f>IFERROR(VLOOKUP(Externe[[#This Row],[Thema_Bezeichung]],EFs_Externe[],5,FALSE),"")</f>
        <v/>
      </c>
      <c r="O200" s="15" t="str">
        <f>IFERROR(VLOOKUP(Externe[[#This Row],[Thema_Bezeichung]],EFs_Externe[],6,FALSE),"")</f>
        <v/>
      </c>
      <c r="P200" s="15" t="str">
        <f>IFERROR(VLOOKUP(Externe[[#This Row],[Thema_Bezeichung]],EFs_Externe[],7,FALSE),"")</f>
        <v/>
      </c>
      <c r="Q200" s="15" t="str">
        <f>IFERROR(Externe[[#This Row],[Wert 
(Zahl)]]*Externe[[#This Row],[Scope 1 Emissionsfaktor '[kg CO2e/Einheit']]],"")</f>
        <v/>
      </c>
      <c r="R200" s="15" t="str">
        <f>IFERROR(Externe[[#This Row],[Wert 
(Zahl)]]*Externe[[#This Row],[Scope 2 Emissionsfaktor '[kg CO2e/Einheit']]],"")</f>
        <v/>
      </c>
      <c r="S200" s="15" t="str">
        <f>IFERROR(Externe[[#This Row],[Wert 
(Zahl)]]*Externe[[#This Row],[Scope 3 Emissionsfaktor '[kg CO2e/Einheit']]],"")</f>
        <v/>
      </c>
    </row>
    <row r="201" spans="2:19" s="95" customFormat="1" x14ac:dyDescent="0.35">
      <c r="B201" s="407"/>
      <c r="C201" s="10" t="str">
        <f t="shared" si="6"/>
        <v>Externe</v>
      </c>
      <c r="D201" s="96"/>
      <c r="E201" s="96"/>
      <c r="F201" s="313"/>
      <c r="G201" s="10" t="str">
        <f>IFERROR(VLOOKUP(Externe[[#This Row],[Thema_Bezeichung]],Emissionsfaktoren!$C$9:$N$201,4,FALSE),"")</f>
        <v/>
      </c>
      <c r="H201" s="96"/>
      <c r="I201" s="96"/>
      <c r="J201" s="96"/>
      <c r="K201" s="314" t="str">
        <f>IF(ISBLANK(Externe[[#This Row],[Wert 
(Zahl)]]),"", SUM(Externe[[#This Row],[Scope 1 Ergebnis location-based '[kg CO2e']]:[Scope 3 Ergebnis location-based '[kg CO2e']]]))</f>
        <v/>
      </c>
      <c r="L201" s="166"/>
      <c r="M201" s="15" t="str">
        <f>IF(ISBLANK(Externe[[#This Row],[Emissionsquelle/Aktivität (Dropdown)]]),"",CONCATENATE(Externe[[#This Row],[Sektor_Thema]]," - ",Externe[[#This Row],[Emissionsquelle/Aktivität (Dropdown)]]))</f>
        <v/>
      </c>
      <c r="N201" s="15" t="str">
        <f>IFERROR(VLOOKUP(Externe[[#This Row],[Thema_Bezeichung]],EFs_Externe[],5,FALSE),"")</f>
        <v/>
      </c>
      <c r="O201" s="15" t="str">
        <f>IFERROR(VLOOKUP(Externe[[#This Row],[Thema_Bezeichung]],EFs_Externe[],6,FALSE),"")</f>
        <v/>
      </c>
      <c r="P201" s="15" t="str">
        <f>IFERROR(VLOOKUP(Externe[[#This Row],[Thema_Bezeichung]],EFs_Externe[],7,FALSE),"")</f>
        <v/>
      </c>
      <c r="Q201" s="15" t="str">
        <f>IFERROR(Externe[[#This Row],[Wert 
(Zahl)]]*Externe[[#This Row],[Scope 1 Emissionsfaktor '[kg CO2e/Einheit']]],"")</f>
        <v/>
      </c>
      <c r="R201" s="15" t="str">
        <f>IFERROR(Externe[[#This Row],[Wert 
(Zahl)]]*Externe[[#This Row],[Scope 2 Emissionsfaktor '[kg CO2e/Einheit']]],"")</f>
        <v/>
      </c>
      <c r="S201" s="15" t="str">
        <f>IFERROR(Externe[[#This Row],[Wert 
(Zahl)]]*Externe[[#This Row],[Scope 3 Emissionsfaktor '[kg CO2e/Einheit']]],"")</f>
        <v/>
      </c>
    </row>
    <row r="202" spans="2:19" s="95" customFormat="1" x14ac:dyDescent="0.35">
      <c r="B202" s="407"/>
      <c r="C202" s="10" t="str">
        <f t="shared" si="6"/>
        <v>Externe</v>
      </c>
      <c r="D202" s="96"/>
      <c r="E202" s="96"/>
      <c r="F202" s="313"/>
      <c r="G202" s="10" t="str">
        <f>IFERROR(VLOOKUP(Externe[[#This Row],[Thema_Bezeichung]],Emissionsfaktoren!$C$9:$N$201,4,FALSE),"")</f>
        <v/>
      </c>
      <c r="H202" s="96"/>
      <c r="I202" s="96"/>
      <c r="J202" s="96"/>
      <c r="K202" s="314" t="str">
        <f>IF(ISBLANK(Externe[[#This Row],[Wert 
(Zahl)]]),"", SUM(Externe[[#This Row],[Scope 1 Ergebnis location-based '[kg CO2e']]:[Scope 3 Ergebnis location-based '[kg CO2e']]]))</f>
        <v/>
      </c>
      <c r="L202" s="166"/>
      <c r="M202" s="15" t="str">
        <f>IF(ISBLANK(Externe[[#This Row],[Emissionsquelle/Aktivität (Dropdown)]]),"",CONCATENATE(Externe[[#This Row],[Sektor_Thema]]," - ",Externe[[#This Row],[Emissionsquelle/Aktivität (Dropdown)]]))</f>
        <v/>
      </c>
      <c r="N202" s="15" t="str">
        <f>IFERROR(VLOOKUP(Externe[[#This Row],[Thema_Bezeichung]],EFs_Externe[],5,FALSE),"")</f>
        <v/>
      </c>
      <c r="O202" s="15" t="str">
        <f>IFERROR(VLOOKUP(Externe[[#This Row],[Thema_Bezeichung]],EFs_Externe[],6,FALSE),"")</f>
        <v/>
      </c>
      <c r="P202" s="15" t="str">
        <f>IFERROR(VLOOKUP(Externe[[#This Row],[Thema_Bezeichung]],EFs_Externe[],7,FALSE),"")</f>
        <v/>
      </c>
      <c r="Q202" s="15" t="str">
        <f>IFERROR(Externe[[#This Row],[Wert 
(Zahl)]]*Externe[[#This Row],[Scope 1 Emissionsfaktor '[kg CO2e/Einheit']]],"")</f>
        <v/>
      </c>
      <c r="R202" s="15" t="str">
        <f>IFERROR(Externe[[#This Row],[Wert 
(Zahl)]]*Externe[[#This Row],[Scope 2 Emissionsfaktor '[kg CO2e/Einheit']]],"")</f>
        <v/>
      </c>
      <c r="S202" s="15" t="str">
        <f>IFERROR(Externe[[#This Row],[Wert 
(Zahl)]]*Externe[[#This Row],[Scope 3 Emissionsfaktor '[kg CO2e/Einheit']]],"")</f>
        <v/>
      </c>
    </row>
    <row r="203" spans="2:19" s="95" customFormat="1" x14ac:dyDescent="0.35">
      <c r="B203" s="407"/>
      <c r="C203" s="10" t="str">
        <f t="shared" si="6"/>
        <v>Externe</v>
      </c>
      <c r="D203" s="96"/>
      <c r="E203" s="96"/>
      <c r="F203" s="313"/>
      <c r="G203" s="10" t="str">
        <f>IFERROR(VLOOKUP(Externe[[#This Row],[Thema_Bezeichung]],Emissionsfaktoren!$C$9:$N$201,4,FALSE),"")</f>
        <v/>
      </c>
      <c r="H203" s="96"/>
      <c r="I203" s="96"/>
      <c r="J203" s="96"/>
      <c r="K203" s="314" t="str">
        <f>IF(ISBLANK(Externe[[#This Row],[Wert 
(Zahl)]]),"", SUM(Externe[[#This Row],[Scope 1 Ergebnis location-based '[kg CO2e']]:[Scope 3 Ergebnis location-based '[kg CO2e']]]))</f>
        <v/>
      </c>
      <c r="L203" s="166"/>
      <c r="M203" s="15" t="str">
        <f>IF(ISBLANK(Externe[[#This Row],[Emissionsquelle/Aktivität (Dropdown)]]),"",CONCATENATE(Externe[[#This Row],[Sektor_Thema]]," - ",Externe[[#This Row],[Emissionsquelle/Aktivität (Dropdown)]]))</f>
        <v/>
      </c>
      <c r="N203" s="15" t="str">
        <f>IFERROR(VLOOKUP(Externe[[#This Row],[Thema_Bezeichung]],EFs_Externe[],5,FALSE),"")</f>
        <v/>
      </c>
      <c r="O203" s="15" t="str">
        <f>IFERROR(VLOOKUP(Externe[[#This Row],[Thema_Bezeichung]],EFs_Externe[],6,FALSE),"")</f>
        <v/>
      </c>
      <c r="P203" s="15" t="str">
        <f>IFERROR(VLOOKUP(Externe[[#This Row],[Thema_Bezeichung]],EFs_Externe[],7,FALSE),"")</f>
        <v/>
      </c>
      <c r="Q203" s="15" t="str">
        <f>IFERROR(Externe[[#This Row],[Wert 
(Zahl)]]*Externe[[#This Row],[Scope 1 Emissionsfaktor '[kg CO2e/Einheit']]],"")</f>
        <v/>
      </c>
      <c r="R203" s="15" t="str">
        <f>IFERROR(Externe[[#This Row],[Wert 
(Zahl)]]*Externe[[#This Row],[Scope 2 Emissionsfaktor '[kg CO2e/Einheit']]],"")</f>
        <v/>
      </c>
      <c r="S203" s="15" t="str">
        <f>IFERROR(Externe[[#This Row],[Wert 
(Zahl)]]*Externe[[#This Row],[Scope 3 Emissionsfaktor '[kg CO2e/Einheit']]],"")</f>
        <v/>
      </c>
    </row>
    <row r="204" spans="2:19" s="95" customFormat="1" x14ac:dyDescent="0.35">
      <c r="B204" s="407"/>
      <c r="C204" s="10" t="str">
        <f t="shared" si="6"/>
        <v>Externe</v>
      </c>
      <c r="D204" s="96"/>
      <c r="E204" s="96"/>
      <c r="F204" s="313"/>
      <c r="G204" s="10" t="str">
        <f>IFERROR(VLOOKUP(Externe[[#This Row],[Thema_Bezeichung]],Emissionsfaktoren!$C$9:$N$201,4,FALSE),"")</f>
        <v/>
      </c>
      <c r="H204" s="96"/>
      <c r="I204" s="96"/>
      <c r="J204" s="96"/>
      <c r="K204" s="314" t="str">
        <f>IF(ISBLANK(Externe[[#This Row],[Wert 
(Zahl)]]),"", SUM(Externe[[#This Row],[Scope 1 Ergebnis location-based '[kg CO2e']]:[Scope 3 Ergebnis location-based '[kg CO2e']]]))</f>
        <v/>
      </c>
      <c r="L204" s="166"/>
      <c r="M204" s="15" t="str">
        <f>IF(ISBLANK(Externe[[#This Row],[Emissionsquelle/Aktivität (Dropdown)]]),"",CONCATENATE(Externe[[#This Row],[Sektor_Thema]]," - ",Externe[[#This Row],[Emissionsquelle/Aktivität (Dropdown)]]))</f>
        <v/>
      </c>
      <c r="N204" s="15" t="str">
        <f>IFERROR(VLOOKUP(Externe[[#This Row],[Thema_Bezeichung]],EFs_Externe[],5,FALSE),"")</f>
        <v/>
      </c>
      <c r="O204" s="15" t="str">
        <f>IFERROR(VLOOKUP(Externe[[#This Row],[Thema_Bezeichung]],EFs_Externe[],6,FALSE),"")</f>
        <v/>
      </c>
      <c r="P204" s="15" t="str">
        <f>IFERROR(VLOOKUP(Externe[[#This Row],[Thema_Bezeichung]],EFs_Externe[],7,FALSE),"")</f>
        <v/>
      </c>
      <c r="Q204" s="15" t="str">
        <f>IFERROR(Externe[[#This Row],[Wert 
(Zahl)]]*Externe[[#This Row],[Scope 1 Emissionsfaktor '[kg CO2e/Einheit']]],"")</f>
        <v/>
      </c>
      <c r="R204" s="15" t="str">
        <f>IFERROR(Externe[[#This Row],[Wert 
(Zahl)]]*Externe[[#This Row],[Scope 2 Emissionsfaktor '[kg CO2e/Einheit']]],"")</f>
        <v/>
      </c>
      <c r="S204" s="15" t="str">
        <f>IFERROR(Externe[[#This Row],[Wert 
(Zahl)]]*Externe[[#This Row],[Scope 3 Emissionsfaktor '[kg CO2e/Einheit']]],"")</f>
        <v/>
      </c>
    </row>
    <row r="205" spans="2:19" s="95" customFormat="1" x14ac:dyDescent="0.35">
      <c r="B205" s="407"/>
      <c r="C205" s="10" t="str">
        <f t="shared" si="6"/>
        <v>Externe</v>
      </c>
      <c r="D205" s="96"/>
      <c r="E205" s="96"/>
      <c r="F205" s="313"/>
      <c r="G205" s="10" t="str">
        <f>IFERROR(VLOOKUP(Externe[[#This Row],[Thema_Bezeichung]],Emissionsfaktoren!$C$9:$N$201,4,FALSE),"")</f>
        <v/>
      </c>
      <c r="H205" s="96"/>
      <c r="I205" s="96"/>
      <c r="J205" s="96"/>
      <c r="K205" s="314" t="str">
        <f>IF(ISBLANK(Externe[[#This Row],[Wert 
(Zahl)]]),"", SUM(Externe[[#This Row],[Scope 1 Ergebnis location-based '[kg CO2e']]:[Scope 3 Ergebnis location-based '[kg CO2e']]]))</f>
        <v/>
      </c>
      <c r="L205" s="166"/>
      <c r="M205" s="15" t="str">
        <f>IF(ISBLANK(Externe[[#This Row],[Emissionsquelle/Aktivität (Dropdown)]]),"",CONCATENATE(Externe[[#This Row],[Sektor_Thema]]," - ",Externe[[#This Row],[Emissionsquelle/Aktivität (Dropdown)]]))</f>
        <v/>
      </c>
      <c r="N205" s="15" t="str">
        <f>IFERROR(VLOOKUP(Externe[[#This Row],[Thema_Bezeichung]],EFs_Externe[],5,FALSE),"")</f>
        <v/>
      </c>
      <c r="O205" s="15" t="str">
        <f>IFERROR(VLOOKUP(Externe[[#This Row],[Thema_Bezeichung]],EFs_Externe[],6,FALSE),"")</f>
        <v/>
      </c>
      <c r="P205" s="15" t="str">
        <f>IFERROR(VLOOKUP(Externe[[#This Row],[Thema_Bezeichung]],EFs_Externe[],7,FALSE),"")</f>
        <v/>
      </c>
      <c r="Q205" s="15" t="str">
        <f>IFERROR(Externe[[#This Row],[Wert 
(Zahl)]]*Externe[[#This Row],[Scope 1 Emissionsfaktor '[kg CO2e/Einheit']]],"")</f>
        <v/>
      </c>
      <c r="R205" s="15" t="str">
        <f>IFERROR(Externe[[#This Row],[Wert 
(Zahl)]]*Externe[[#This Row],[Scope 2 Emissionsfaktor '[kg CO2e/Einheit']]],"")</f>
        <v/>
      </c>
      <c r="S205" s="15" t="str">
        <f>IFERROR(Externe[[#This Row],[Wert 
(Zahl)]]*Externe[[#This Row],[Scope 3 Emissionsfaktor '[kg CO2e/Einheit']]],"")</f>
        <v/>
      </c>
    </row>
    <row r="206" spans="2:19" s="95" customFormat="1" x14ac:dyDescent="0.35">
      <c r="B206" s="407"/>
      <c r="C206" s="10" t="str">
        <f t="shared" si="6"/>
        <v>Externe</v>
      </c>
      <c r="D206" s="96"/>
      <c r="E206" s="96"/>
      <c r="F206" s="313"/>
      <c r="G206" s="10" t="str">
        <f>IFERROR(VLOOKUP(Externe[[#This Row],[Thema_Bezeichung]],Emissionsfaktoren!$C$9:$N$201,4,FALSE),"")</f>
        <v/>
      </c>
      <c r="H206" s="96"/>
      <c r="I206" s="96"/>
      <c r="J206" s="96"/>
      <c r="K206" s="314" t="str">
        <f>IF(ISBLANK(Externe[[#This Row],[Wert 
(Zahl)]]),"", SUM(Externe[[#This Row],[Scope 1 Ergebnis location-based '[kg CO2e']]:[Scope 3 Ergebnis location-based '[kg CO2e']]]))</f>
        <v/>
      </c>
      <c r="L206" s="166"/>
      <c r="M206" s="15" t="str">
        <f>IF(ISBLANK(Externe[[#This Row],[Emissionsquelle/Aktivität (Dropdown)]]),"",CONCATENATE(Externe[[#This Row],[Sektor_Thema]]," - ",Externe[[#This Row],[Emissionsquelle/Aktivität (Dropdown)]]))</f>
        <v/>
      </c>
      <c r="N206" s="15" t="str">
        <f>IFERROR(VLOOKUP(Externe[[#This Row],[Thema_Bezeichung]],EFs_Externe[],5,FALSE),"")</f>
        <v/>
      </c>
      <c r="O206" s="15" t="str">
        <f>IFERROR(VLOOKUP(Externe[[#This Row],[Thema_Bezeichung]],EFs_Externe[],6,FALSE),"")</f>
        <v/>
      </c>
      <c r="P206" s="15" t="str">
        <f>IFERROR(VLOOKUP(Externe[[#This Row],[Thema_Bezeichung]],EFs_Externe[],7,FALSE),"")</f>
        <v/>
      </c>
      <c r="Q206" s="15" t="str">
        <f>IFERROR(Externe[[#This Row],[Wert 
(Zahl)]]*Externe[[#This Row],[Scope 1 Emissionsfaktor '[kg CO2e/Einheit']]],"")</f>
        <v/>
      </c>
      <c r="R206" s="15" t="str">
        <f>IFERROR(Externe[[#This Row],[Wert 
(Zahl)]]*Externe[[#This Row],[Scope 2 Emissionsfaktor '[kg CO2e/Einheit']]],"")</f>
        <v/>
      </c>
      <c r="S206" s="15" t="str">
        <f>IFERROR(Externe[[#This Row],[Wert 
(Zahl)]]*Externe[[#This Row],[Scope 3 Emissionsfaktor '[kg CO2e/Einheit']]],"")</f>
        <v/>
      </c>
    </row>
    <row r="207" spans="2:19" s="95" customFormat="1" x14ac:dyDescent="0.35">
      <c r="B207" s="407"/>
      <c r="C207" s="10" t="str">
        <f t="shared" si="6"/>
        <v>Externe</v>
      </c>
      <c r="D207" s="96"/>
      <c r="E207" s="96"/>
      <c r="F207" s="313"/>
      <c r="G207" s="10" t="str">
        <f>IFERROR(VLOOKUP(Externe[[#This Row],[Thema_Bezeichung]],Emissionsfaktoren!$C$9:$N$201,4,FALSE),"")</f>
        <v/>
      </c>
      <c r="H207" s="96"/>
      <c r="I207" s="96"/>
      <c r="J207" s="96"/>
      <c r="K207" s="314" t="str">
        <f>IF(ISBLANK(Externe[[#This Row],[Wert 
(Zahl)]]),"", SUM(Externe[[#This Row],[Scope 1 Ergebnis location-based '[kg CO2e']]:[Scope 3 Ergebnis location-based '[kg CO2e']]]))</f>
        <v/>
      </c>
      <c r="L207" s="166"/>
      <c r="M207" s="15" t="str">
        <f>IF(ISBLANK(Externe[[#This Row],[Emissionsquelle/Aktivität (Dropdown)]]),"",CONCATENATE(Externe[[#This Row],[Sektor_Thema]]," - ",Externe[[#This Row],[Emissionsquelle/Aktivität (Dropdown)]]))</f>
        <v/>
      </c>
      <c r="N207" s="15" t="str">
        <f>IFERROR(VLOOKUP(Externe[[#This Row],[Thema_Bezeichung]],EFs_Externe[],5,FALSE),"")</f>
        <v/>
      </c>
      <c r="O207" s="15" t="str">
        <f>IFERROR(VLOOKUP(Externe[[#This Row],[Thema_Bezeichung]],EFs_Externe[],6,FALSE),"")</f>
        <v/>
      </c>
      <c r="P207" s="15" t="str">
        <f>IFERROR(VLOOKUP(Externe[[#This Row],[Thema_Bezeichung]],EFs_Externe[],7,FALSE),"")</f>
        <v/>
      </c>
      <c r="Q207" s="15" t="str">
        <f>IFERROR(Externe[[#This Row],[Wert 
(Zahl)]]*Externe[[#This Row],[Scope 1 Emissionsfaktor '[kg CO2e/Einheit']]],"")</f>
        <v/>
      </c>
      <c r="R207" s="15" t="str">
        <f>IFERROR(Externe[[#This Row],[Wert 
(Zahl)]]*Externe[[#This Row],[Scope 2 Emissionsfaktor '[kg CO2e/Einheit']]],"")</f>
        <v/>
      </c>
      <c r="S207" s="15" t="str">
        <f>IFERROR(Externe[[#This Row],[Wert 
(Zahl)]]*Externe[[#This Row],[Scope 3 Emissionsfaktor '[kg CO2e/Einheit']]],"")</f>
        <v/>
      </c>
    </row>
    <row r="208" spans="2:19" s="95" customFormat="1" x14ac:dyDescent="0.35">
      <c r="B208" s="407"/>
      <c r="C208" s="10" t="str">
        <f t="shared" si="6"/>
        <v>Externe</v>
      </c>
      <c r="D208" s="96"/>
      <c r="E208" s="96"/>
      <c r="F208" s="313"/>
      <c r="G208" s="10" t="str">
        <f>IFERROR(VLOOKUP(Externe[[#This Row],[Thema_Bezeichung]],Emissionsfaktoren!$C$9:$N$201,4,FALSE),"")</f>
        <v/>
      </c>
      <c r="H208" s="96"/>
      <c r="I208" s="96"/>
      <c r="J208" s="96"/>
      <c r="K208" s="314" t="str">
        <f>IF(ISBLANK(Externe[[#This Row],[Wert 
(Zahl)]]),"", SUM(Externe[[#This Row],[Scope 1 Ergebnis location-based '[kg CO2e']]:[Scope 3 Ergebnis location-based '[kg CO2e']]]))</f>
        <v/>
      </c>
      <c r="L208" s="166"/>
      <c r="M208" s="15" t="str">
        <f>IF(ISBLANK(Externe[[#This Row],[Emissionsquelle/Aktivität (Dropdown)]]),"",CONCATENATE(Externe[[#This Row],[Sektor_Thema]]," - ",Externe[[#This Row],[Emissionsquelle/Aktivität (Dropdown)]]))</f>
        <v/>
      </c>
      <c r="N208" s="15" t="str">
        <f>IFERROR(VLOOKUP(Externe[[#This Row],[Thema_Bezeichung]],EFs_Externe[],5,FALSE),"")</f>
        <v/>
      </c>
      <c r="O208" s="15" t="str">
        <f>IFERROR(VLOOKUP(Externe[[#This Row],[Thema_Bezeichung]],EFs_Externe[],6,FALSE),"")</f>
        <v/>
      </c>
      <c r="P208" s="15" t="str">
        <f>IFERROR(VLOOKUP(Externe[[#This Row],[Thema_Bezeichung]],EFs_Externe[],7,FALSE),"")</f>
        <v/>
      </c>
      <c r="Q208" s="15" t="str">
        <f>IFERROR(Externe[[#This Row],[Wert 
(Zahl)]]*Externe[[#This Row],[Scope 1 Emissionsfaktor '[kg CO2e/Einheit']]],"")</f>
        <v/>
      </c>
      <c r="R208" s="15" t="str">
        <f>IFERROR(Externe[[#This Row],[Wert 
(Zahl)]]*Externe[[#This Row],[Scope 2 Emissionsfaktor '[kg CO2e/Einheit']]],"")</f>
        <v/>
      </c>
      <c r="S208" s="15" t="str">
        <f>IFERROR(Externe[[#This Row],[Wert 
(Zahl)]]*Externe[[#This Row],[Scope 3 Emissionsfaktor '[kg CO2e/Einheit']]],"")</f>
        <v/>
      </c>
    </row>
    <row r="209" spans="2:19" s="95" customFormat="1" x14ac:dyDescent="0.35">
      <c r="B209" s="407"/>
      <c r="C209" s="96" t="str">
        <f t="shared" si="6"/>
        <v>Externe</v>
      </c>
      <c r="D209" s="96"/>
      <c r="E209" s="96"/>
      <c r="F209" s="313"/>
      <c r="G209" s="96" t="str">
        <f>IFERROR(VLOOKUP(Externe[[#This Row],[Thema_Bezeichung]],Emissionsfaktoren!$C$9:$N$201,4,FALSE),"")</f>
        <v/>
      </c>
      <c r="H209" s="96"/>
      <c r="I209" s="96"/>
      <c r="J209" s="96"/>
      <c r="K209" s="315" t="str">
        <f>IF(ISBLANK(Externe[[#This Row],[Wert 
(Zahl)]]),"", SUM(Externe[[#This Row],[Scope 1 Ergebnis location-based '[kg CO2e']]:[Scope 3 Ergebnis location-based '[kg CO2e']]]))</f>
        <v/>
      </c>
      <c r="L209" s="167"/>
      <c r="M209" s="100" t="str">
        <f>IF(ISBLANK(Externe[[#This Row],[Emissionsquelle/Aktivität (Dropdown)]]),"",CONCATENATE(Externe[[#This Row],[Sektor_Thema]]," - ",Externe[[#This Row],[Emissionsquelle/Aktivität (Dropdown)]]))</f>
        <v/>
      </c>
      <c r="N209" s="100" t="str">
        <f>IFERROR(VLOOKUP(Externe[[#This Row],[Thema_Bezeichung]],EFs_Externe[],5,FALSE),"")</f>
        <v/>
      </c>
      <c r="O209" s="100" t="str">
        <f>IFERROR(VLOOKUP(Externe[[#This Row],[Thema_Bezeichung]],EFs_Externe[],6,FALSE),"")</f>
        <v/>
      </c>
      <c r="P209" s="100" t="str">
        <f>IFERROR(VLOOKUP(Externe[[#This Row],[Thema_Bezeichung]],EFs_Externe[],7,FALSE),"")</f>
        <v/>
      </c>
      <c r="Q209" s="100" t="str">
        <f>IFERROR(Externe[[#This Row],[Wert 
(Zahl)]]*Externe[[#This Row],[Scope 1 Emissionsfaktor '[kg CO2e/Einheit']]],"")</f>
        <v/>
      </c>
      <c r="R209" s="100" t="str">
        <f>IFERROR(Externe[[#This Row],[Wert 
(Zahl)]]*Externe[[#This Row],[Scope 2 Emissionsfaktor '[kg CO2e/Einheit']]],"")</f>
        <v/>
      </c>
      <c r="S209" s="100" t="str">
        <f>IFERROR(Externe[[#This Row],[Wert 
(Zahl)]]*Externe[[#This Row],[Scope 3 Emissionsfaktor '[kg CO2e/Einheit']]],"")</f>
        <v/>
      </c>
    </row>
    <row r="210" spans="2:19" s="95" customFormat="1" ht="15" thickBot="1" x14ac:dyDescent="0.4">
      <c r="B210" s="408"/>
      <c r="C210" s="96" t="str">
        <f t="shared" si="6"/>
        <v>Externe</v>
      </c>
      <c r="D210" s="96"/>
      <c r="E210" s="96"/>
      <c r="F210" s="313"/>
      <c r="G210" s="96" t="str">
        <f>IFERROR(VLOOKUP(Externe[[#This Row],[Thema_Bezeichung]],Emissionsfaktoren!$C$9:$N$201,4,FALSE),"")</f>
        <v/>
      </c>
      <c r="H210" s="96"/>
      <c r="I210" s="96"/>
      <c r="J210" s="96"/>
      <c r="K210" s="315" t="str">
        <f>IF(ISBLANK(Externe[[#This Row],[Wert 
(Zahl)]]),"", SUM(Externe[[#This Row],[Scope 1 Ergebnis location-based '[kg CO2e']]:[Scope 3 Ergebnis location-based '[kg CO2e']]]))</f>
        <v/>
      </c>
      <c r="L210" s="167"/>
      <c r="M210" s="100" t="str">
        <f>IF(ISBLANK(Externe[[#This Row],[Emissionsquelle/Aktivität (Dropdown)]]),"",CONCATENATE(Externe[[#This Row],[Sektor_Thema]]," - ",Externe[[#This Row],[Emissionsquelle/Aktivität (Dropdown)]]))</f>
        <v/>
      </c>
      <c r="N210" s="100" t="str">
        <f>IFERROR(VLOOKUP(Externe[[#This Row],[Thema_Bezeichung]],EFs_Externe[],5,FALSE),"")</f>
        <v/>
      </c>
      <c r="O210" s="100" t="str">
        <f>IFERROR(VLOOKUP(Externe[[#This Row],[Thema_Bezeichung]],EFs_Externe[],6,FALSE),"")</f>
        <v/>
      </c>
      <c r="P210" s="100" t="str">
        <f>IFERROR(VLOOKUP(Externe[[#This Row],[Thema_Bezeichung]],EFs_Externe[],7,FALSE),"")</f>
        <v/>
      </c>
      <c r="Q210" s="100" t="str">
        <f>IFERROR(Externe[[#This Row],[Wert 
(Zahl)]]*Externe[[#This Row],[Scope 1 Emissionsfaktor '[kg CO2e/Einheit']]],"")</f>
        <v/>
      </c>
      <c r="R210" s="100" t="str">
        <f>IFERROR(Externe[[#This Row],[Wert 
(Zahl)]]*Externe[[#This Row],[Scope 2 Emissionsfaktor '[kg CO2e/Einheit']]],"")</f>
        <v/>
      </c>
      <c r="S210" s="100" t="str">
        <f>IFERROR(Externe[[#This Row],[Wert 
(Zahl)]]*Externe[[#This Row],[Scope 3 Emissionsfaktor '[kg CO2e/Einheit']]],"")</f>
        <v/>
      </c>
    </row>
    <row r="211" spans="2:19" s="2" customFormat="1" ht="15" thickTop="1" x14ac:dyDescent="0.35">
      <c r="B211" s="13"/>
      <c r="D211" s="2" t="s">
        <v>226</v>
      </c>
      <c r="K211" s="316">
        <f>SUBTOTAL(109,Externe[Ergebnis '[kg CO2e'] (vorausgefüllt)])</f>
        <v>0</v>
      </c>
      <c r="L211" s="173"/>
      <c r="Q211" s="2">
        <f>SUBTOTAL(109,Externe[Scope 1 Ergebnis location-based '[kg CO2e']])</f>
        <v>0</v>
      </c>
      <c r="R211" s="2">
        <f>SUBTOTAL(109,Externe[Scope 2 Ergebnis location-based '[kg CO2e']])</f>
        <v>0</v>
      </c>
      <c r="S211" s="2">
        <f>SUBTOTAL(109,Externe[Scope 3 Ergebnis location-based '[kg CO2e']])</f>
        <v>0</v>
      </c>
    </row>
    <row r="212" spans="2:19" ht="120" customHeight="1" x14ac:dyDescent="0.35">
      <c r="B212" s="197" t="s">
        <v>85</v>
      </c>
      <c r="C212" s="87"/>
      <c r="D212" s="87"/>
      <c r="E212" s="11"/>
      <c r="F212" s="11"/>
      <c r="G212" s="11"/>
      <c r="H212" s="11"/>
      <c r="I212" s="11"/>
      <c r="L212" s="169"/>
    </row>
    <row r="213" spans="2:19" x14ac:dyDescent="0.35">
      <c r="B213" s="135" t="s">
        <v>86</v>
      </c>
      <c r="L213" s="169"/>
    </row>
    <row r="214" spans="2:19" ht="18.5" x14ac:dyDescent="0.45">
      <c r="B214" s="134" t="s">
        <v>77</v>
      </c>
      <c r="L214" s="169"/>
    </row>
    <row r="215" spans="2:19" ht="80.25" customHeight="1" x14ac:dyDescent="0.35">
      <c r="B215" s="298" t="s">
        <v>93</v>
      </c>
      <c r="C215" s="300"/>
      <c r="D215" s="404" t="s">
        <v>415</v>
      </c>
      <c r="E215" s="404"/>
      <c r="F215" s="404"/>
      <c r="G215" s="404"/>
      <c r="H215" s="404"/>
      <c r="I215" s="405"/>
      <c r="L215" s="169"/>
    </row>
    <row r="216" spans="2:19" x14ac:dyDescent="0.35">
      <c r="C216" t="s">
        <v>77</v>
      </c>
      <c r="L216" s="169"/>
    </row>
    <row r="217" spans="2:19" ht="44" thickBot="1" x14ac:dyDescent="0.4">
      <c r="B217" s="10"/>
      <c r="C217" s="27" t="s">
        <v>51</v>
      </c>
      <c r="D217" s="27" t="s">
        <v>214</v>
      </c>
      <c r="E217" s="27" t="s">
        <v>71</v>
      </c>
      <c r="F217" s="27" t="s">
        <v>72</v>
      </c>
      <c r="G217" s="103" t="s">
        <v>84</v>
      </c>
      <c r="H217" s="27" t="s">
        <v>135</v>
      </c>
      <c r="I217" s="103" t="s">
        <v>80</v>
      </c>
      <c r="J217" s="103" t="s">
        <v>81</v>
      </c>
      <c r="K217" s="164" t="s">
        <v>243</v>
      </c>
      <c r="L217" s="171" t="s">
        <v>133</v>
      </c>
      <c r="M217" s="103" t="s">
        <v>241</v>
      </c>
      <c r="N217" s="103" t="s">
        <v>87</v>
      </c>
      <c r="O217" s="103" t="s">
        <v>89</v>
      </c>
      <c r="P217" s="103" t="s">
        <v>88</v>
      </c>
      <c r="Q217" s="103" t="s">
        <v>92</v>
      </c>
      <c r="R217" s="103" t="s">
        <v>91</v>
      </c>
      <c r="S217" s="103" t="s">
        <v>90</v>
      </c>
    </row>
    <row r="218" spans="2:19" s="95" customFormat="1" ht="15" thickTop="1" x14ac:dyDescent="0.35">
      <c r="B218" s="406" t="s">
        <v>77</v>
      </c>
      <c r="C218" s="10" t="str">
        <f t="shared" ref="C218:C237" si="7">$C$216</f>
        <v>Warentransporte</v>
      </c>
      <c r="D218" s="96"/>
      <c r="E218" s="96"/>
      <c r="F218" s="313"/>
      <c r="G218" s="10" t="str">
        <f>IFERROR(VLOOKUP(Warentransporte[[#This Row],[Thema_Bezeichung]],Emissionsfaktoren!$C$9:$N$201,4,FALSE),"")</f>
        <v/>
      </c>
      <c r="H218" s="96"/>
      <c r="I218" s="96"/>
      <c r="J218" s="96"/>
      <c r="K218" s="314" t="str">
        <f>IF(ISBLANK(Warentransporte[[#This Row],[Wert 
(Zahl)]]),"", SUM(Warentransporte[[#This Row],[Scope 1 Ergebnis location-based '[kg CO2e']]:[Scope 3 Ergebnis location-based '[kg CO2e']]]))</f>
        <v/>
      </c>
      <c r="L218" s="166"/>
      <c r="M218" s="15" t="str">
        <f>IF(ISBLANK(Warentransporte[[#This Row],[Emissionsquelle/Aktivität (Dropdown)]]),"",CONCATENATE(Warentransporte[[#This Row],[Sektor_Thema]]," - ",Warentransporte[[#This Row],[Emissionsquelle/Aktivität (Dropdown)]]))</f>
        <v/>
      </c>
      <c r="N218" s="15" t="str">
        <f>IFERROR(VLOOKUP(Warentransporte[[#This Row],[Thema_Bezeichung]],EFs_Warentransporte[],5,FALSE),"")</f>
        <v/>
      </c>
      <c r="O218" s="15" t="str">
        <f>IFERROR(VLOOKUP(Warentransporte[[#This Row],[Thema_Bezeichung]],EFs_Warentransporte[],6,FALSE),"")</f>
        <v/>
      </c>
      <c r="P218" s="15" t="str">
        <f>IFERROR(VLOOKUP(Warentransporte[[#This Row],[Thema_Bezeichung]],EFs_Warentransporte[],7,FALSE),"")</f>
        <v/>
      </c>
      <c r="Q218" s="15" t="str">
        <f>IFERROR(Warentransporte[[#This Row],[Wert 
(Zahl)]]*Warentransporte[[#This Row],[Scope 1 Emissionsfaktor '[kg CO2e/Einheit']]],"")</f>
        <v/>
      </c>
      <c r="R218" s="15" t="str">
        <f>IFERROR(Warentransporte[[#This Row],[Wert 
(Zahl)]]*Warentransporte[[#This Row],[Scope 2 Emissionsfaktor '[kg CO2e/Einheit']]],"")</f>
        <v/>
      </c>
      <c r="S218" s="15" t="str">
        <f>IFERROR(Warentransporte[[#This Row],[Wert 
(Zahl)]]*Warentransporte[[#This Row],[Scope 3 Emissionsfaktor '[kg CO2e/Einheit']]],"")</f>
        <v/>
      </c>
    </row>
    <row r="219" spans="2:19" s="95" customFormat="1" x14ac:dyDescent="0.35">
      <c r="B219" s="407"/>
      <c r="C219" s="10" t="str">
        <f t="shared" si="7"/>
        <v>Warentransporte</v>
      </c>
      <c r="D219" s="96"/>
      <c r="E219" s="96"/>
      <c r="F219" s="313"/>
      <c r="G219" s="10" t="str">
        <f>IFERROR(VLOOKUP(Warentransporte[[#This Row],[Thema_Bezeichung]],Emissionsfaktoren!$C$9:$N$201,4,FALSE),"")</f>
        <v/>
      </c>
      <c r="H219" s="96"/>
      <c r="I219" s="96"/>
      <c r="J219" s="96"/>
      <c r="K219" s="314" t="str">
        <f>IF(ISBLANK(Warentransporte[[#This Row],[Wert 
(Zahl)]]),"", SUM(Warentransporte[[#This Row],[Scope 1 Ergebnis location-based '[kg CO2e']]:[Scope 3 Ergebnis location-based '[kg CO2e']]]))</f>
        <v/>
      </c>
      <c r="L219" s="166"/>
      <c r="M219" s="15" t="str">
        <f>IF(ISBLANK(Warentransporte[[#This Row],[Emissionsquelle/Aktivität (Dropdown)]]),"",CONCATENATE(Warentransporte[[#This Row],[Sektor_Thema]]," - ",Warentransporte[[#This Row],[Emissionsquelle/Aktivität (Dropdown)]]))</f>
        <v/>
      </c>
      <c r="N219" s="15" t="str">
        <f>IFERROR(VLOOKUP(Warentransporte[[#This Row],[Thema_Bezeichung]],EFs_Warentransporte[],5,FALSE),"")</f>
        <v/>
      </c>
      <c r="O219" s="15" t="str">
        <f>IFERROR(VLOOKUP(Warentransporte[[#This Row],[Thema_Bezeichung]],EFs_Warentransporte[],6,FALSE),"")</f>
        <v/>
      </c>
      <c r="P219" s="15" t="str">
        <f>IFERROR(VLOOKUP(Warentransporte[[#This Row],[Thema_Bezeichung]],EFs_Warentransporte[],7,FALSE),"")</f>
        <v/>
      </c>
      <c r="Q219" s="15" t="str">
        <f>IFERROR(Warentransporte[[#This Row],[Wert 
(Zahl)]]*Warentransporte[[#This Row],[Scope 1 Emissionsfaktor '[kg CO2e/Einheit']]],"")</f>
        <v/>
      </c>
      <c r="R219" s="15" t="str">
        <f>IFERROR(Warentransporte[[#This Row],[Wert 
(Zahl)]]*Warentransporte[[#This Row],[Scope 2 Emissionsfaktor '[kg CO2e/Einheit']]],"")</f>
        <v/>
      </c>
      <c r="S219" s="15" t="str">
        <f>IFERROR(Warentransporte[[#This Row],[Wert 
(Zahl)]]*Warentransporte[[#This Row],[Scope 3 Emissionsfaktor '[kg CO2e/Einheit']]],"")</f>
        <v/>
      </c>
    </row>
    <row r="220" spans="2:19" s="95" customFormat="1" x14ac:dyDescent="0.35">
      <c r="B220" s="407"/>
      <c r="C220" s="10" t="str">
        <f t="shared" si="7"/>
        <v>Warentransporte</v>
      </c>
      <c r="D220" s="96"/>
      <c r="E220" s="96"/>
      <c r="F220" s="313"/>
      <c r="G220" s="10" t="str">
        <f>IFERROR(VLOOKUP(Warentransporte[[#This Row],[Thema_Bezeichung]],Emissionsfaktoren!$C$9:$N$201,4,FALSE),"")</f>
        <v/>
      </c>
      <c r="H220" s="96"/>
      <c r="I220" s="96"/>
      <c r="J220" s="96"/>
      <c r="K220" s="314" t="str">
        <f>IF(ISBLANK(Warentransporte[[#This Row],[Wert 
(Zahl)]]),"", SUM(Warentransporte[[#This Row],[Scope 1 Ergebnis location-based '[kg CO2e']]:[Scope 3 Ergebnis location-based '[kg CO2e']]]))</f>
        <v/>
      </c>
      <c r="L220" s="166"/>
      <c r="M220" s="15" t="str">
        <f>IF(ISBLANK(Warentransporte[[#This Row],[Emissionsquelle/Aktivität (Dropdown)]]),"",CONCATENATE(Warentransporte[[#This Row],[Sektor_Thema]]," - ",Warentransporte[[#This Row],[Emissionsquelle/Aktivität (Dropdown)]]))</f>
        <v/>
      </c>
      <c r="N220" s="15" t="str">
        <f>IFERROR(VLOOKUP(Warentransporte[[#This Row],[Thema_Bezeichung]],EFs_Warentransporte[],5,FALSE),"")</f>
        <v/>
      </c>
      <c r="O220" s="15" t="str">
        <f>IFERROR(VLOOKUP(Warentransporte[[#This Row],[Thema_Bezeichung]],EFs_Warentransporte[],6,FALSE),"")</f>
        <v/>
      </c>
      <c r="P220" s="15" t="str">
        <f>IFERROR(VLOOKUP(Warentransporte[[#This Row],[Thema_Bezeichung]],EFs_Warentransporte[],7,FALSE),"")</f>
        <v/>
      </c>
      <c r="Q220" s="15" t="str">
        <f>IFERROR(Warentransporte[[#This Row],[Wert 
(Zahl)]]*Warentransporte[[#This Row],[Scope 1 Emissionsfaktor '[kg CO2e/Einheit']]],"")</f>
        <v/>
      </c>
      <c r="R220" s="15" t="str">
        <f>IFERROR(Warentransporte[[#This Row],[Wert 
(Zahl)]]*Warentransporte[[#This Row],[Scope 2 Emissionsfaktor '[kg CO2e/Einheit']]],"")</f>
        <v/>
      </c>
      <c r="S220" s="15" t="str">
        <f>IFERROR(Warentransporte[[#This Row],[Wert 
(Zahl)]]*Warentransporte[[#This Row],[Scope 3 Emissionsfaktor '[kg CO2e/Einheit']]],"")</f>
        <v/>
      </c>
    </row>
    <row r="221" spans="2:19" s="95" customFormat="1" x14ac:dyDescent="0.35">
      <c r="B221" s="407"/>
      <c r="C221" s="10" t="str">
        <f t="shared" si="7"/>
        <v>Warentransporte</v>
      </c>
      <c r="D221" s="96"/>
      <c r="E221" s="96"/>
      <c r="F221" s="313"/>
      <c r="G221" s="10" t="str">
        <f>IFERROR(VLOOKUP(Warentransporte[[#This Row],[Thema_Bezeichung]],Emissionsfaktoren!$C$9:$N$201,4,FALSE),"")</f>
        <v/>
      </c>
      <c r="H221" s="96"/>
      <c r="I221" s="96"/>
      <c r="J221" s="96"/>
      <c r="K221" s="314" t="str">
        <f>IF(ISBLANK(Warentransporte[[#This Row],[Wert 
(Zahl)]]),"", SUM(Warentransporte[[#This Row],[Scope 1 Ergebnis location-based '[kg CO2e']]:[Scope 3 Ergebnis location-based '[kg CO2e']]]))</f>
        <v/>
      </c>
      <c r="L221" s="166"/>
      <c r="M221" s="15" t="str">
        <f>IF(ISBLANK(Warentransporte[[#This Row],[Emissionsquelle/Aktivität (Dropdown)]]),"",CONCATENATE(Warentransporte[[#This Row],[Sektor_Thema]]," - ",Warentransporte[[#This Row],[Emissionsquelle/Aktivität (Dropdown)]]))</f>
        <v/>
      </c>
      <c r="N221" s="15" t="str">
        <f>IFERROR(VLOOKUP(Warentransporte[[#This Row],[Thema_Bezeichung]],EFs_Warentransporte[],5,FALSE),"")</f>
        <v/>
      </c>
      <c r="O221" s="15" t="str">
        <f>IFERROR(VLOOKUP(Warentransporte[[#This Row],[Thema_Bezeichung]],EFs_Warentransporte[],6,FALSE),"")</f>
        <v/>
      </c>
      <c r="P221" s="15" t="str">
        <f>IFERROR(VLOOKUP(Warentransporte[[#This Row],[Thema_Bezeichung]],EFs_Warentransporte[],7,FALSE),"")</f>
        <v/>
      </c>
      <c r="Q221" s="15" t="str">
        <f>IFERROR(Warentransporte[[#This Row],[Wert 
(Zahl)]]*Warentransporte[[#This Row],[Scope 1 Emissionsfaktor '[kg CO2e/Einheit']]],"")</f>
        <v/>
      </c>
      <c r="R221" s="15" t="str">
        <f>IFERROR(Warentransporte[[#This Row],[Wert 
(Zahl)]]*Warentransporte[[#This Row],[Scope 2 Emissionsfaktor '[kg CO2e/Einheit']]],"")</f>
        <v/>
      </c>
      <c r="S221" s="15" t="str">
        <f>IFERROR(Warentransporte[[#This Row],[Wert 
(Zahl)]]*Warentransporte[[#This Row],[Scope 3 Emissionsfaktor '[kg CO2e/Einheit']]],"")</f>
        <v/>
      </c>
    </row>
    <row r="222" spans="2:19" s="95" customFormat="1" x14ac:dyDescent="0.35">
      <c r="B222" s="407"/>
      <c r="C222" s="10" t="str">
        <f t="shared" si="7"/>
        <v>Warentransporte</v>
      </c>
      <c r="D222" s="96"/>
      <c r="E222" s="96"/>
      <c r="F222" s="313"/>
      <c r="G222" s="10" t="str">
        <f>IFERROR(VLOOKUP(Warentransporte[[#This Row],[Thema_Bezeichung]],Emissionsfaktoren!$C$9:$N$201,4,FALSE),"")</f>
        <v/>
      </c>
      <c r="H222" s="96"/>
      <c r="I222" s="96"/>
      <c r="J222" s="96"/>
      <c r="K222" s="314" t="str">
        <f>IF(ISBLANK(Warentransporte[[#This Row],[Wert 
(Zahl)]]),"", SUM(Warentransporte[[#This Row],[Scope 1 Ergebnis location-based '[kg CO2e']]:[Scope 3 Ergebnis location-based '[kg CO2e']]]))</f>
        <v/>
      </c>
      <c r="L222" s="166"/>
      <c r="M222" s="15" t="str">
        <f>IF(ISBLANK(Warentransporte[[#This Row],[Emissionsquelle/Aktivität (Dropdown)]]),"",CONCATENATE(Warentransporte[[#This Row],[Sektor_Thema]]," - ",Warentransporte[[#This Row],[Emissionsquelle/Aktivität (Dropdown)]]))</f>
        <v/>
      </c>
      <c r="N222" s="15" t="str">
        <f>IFERROR(VLOOKUP(Warentransporte[[#This Row],[Thema_Bezeichung]],EFs_Warentransporte[],5,FALSE),"")</f>
        <v/>
      </c>
      <c r="O222" s="15" t="str">
        <f>IFERROR(VLOOKUP(Warentransporte[[#This Row],[Thema_Bezeichung]],EFs_Warentransporte[],6,FALSE),"")</f>
        <v/>
      </c>
      <c r="P222" s="15" t="str">
        <f>IFERROR(VLOOKUP(Warentransporte[[#This Row],[Thema_Bezeichung]],EFs_Warentransporte[],7,FALSE),"")</f>
        <v/>
      </c>
      <c r="Q222" s="15" t="str">
        <f>IFERROR(Warentransporte[[#This Row],[Wert 
(Zahl)]]*Warentransporte[[#This Row],[Scope 1 Emissionsfaktor '[kg CO2e/Einheit']]],"")</f>
        <v/>
      </c>
      <c r="R222" s="15" t="str">
        <f>IFERROR(Warentransporte[[#This Row],[Wert 
(Zahl)]]*Warentransporte[[#This Row],[Scope 2 Emissionsfaktor '[kg CO2e/Einheit']]],"")</f>
        <v/>
      </c>
      <c r="S222" s="15" t="str">
        <f>IFERROR(Warentransporte[[#This Row],[Wert 
(Zahl)]]*Warentransporte[[#This Row],[Scope 3 Emissionsfaktor '[kg CO2e/Einheit']]],"")</f>
        <v/>
      </c>
    </row>
    <row r="223" spans="2:19" s="95" customFormat="1" x14ac:dyDescent="0.35">
      <c r="B223" s="407"/>
      <c r="C223" s="10" t="str">
        <f t="shared" si="7"/>
        <v>Warentransporte</v>
      </c>
      <c r="D223" s="96"/>
      <c r="E223" s="96"/>
      <c r="F223" s="313"/>
      <c r="G223" s="10" t="str">
        <f>IFERROR(VLOOKUP(Warentransporte[[#This Row],[Thema_Bezeichung]],Emissionsfaktoren!$C$9:$N$201,4,FALSE),"")</f>
        <v/>
      </c>
      <c r="H223" s="96"/>
      <c r="I223" s="96"/>
      <c r="J223" s="96"/>
      <c r="K223" s="314" t="str">
        <f>IF(ISBLANK(Warentransporte[[#This Row],[Wert 
(Zahl)]]),"", SUM(Warentransporte[[#This Row],[Scope 1 Ergebnis location-based '[kg CO2e']]:[Scope 3 Ergebnis location-based '[kg CO2e']]]))</f>
        <v/>
      </c>
      <c r="L223" s="166"/>
      <c r="M223" s="15" t="str">
        <f>IF(ISBLANK(Warentransporte[[#This Row],[Emissionsquelle/Aktivität (Dropdown)]]),"",CONCATENATE(Warentransporte[[#This Row],[Sektor_Thema]]," - ",Warentransporte[[#This Row],[Emissionsquelle/Aktivität (Dropdown)]]))</f>
        <v/>
      </c>
      <c r="N223" s="15" t="str">
        <f>IFERROR(VLOOKUP(Warentransporte[[#This Row],[Thema_Bezeichung]],EFs_Warentransporte[],5,FALSE),"")</f>
        <v/>
      </c>
      <c r="O223" s="15" t="str">
        <f>IFERROR(VLOOKUP(Warentransporte[[#This Row],[Thema_Bezeichung]],EFs_Warentransporte[],6,FALSE),"")</f>
        <v/>
      </c>
      <c r="P223" s="15" t="str">
        <f>IFERROR(VLOOKUP(Warentransporte[[#This Row],[Thema_Bezeichung]],EFs_Warentransporte[],7,FALSE),"")</f>
        <v/>
      </c>
      <c r="Q223" s="15" t="str">
        <f>IFERROR(Warentransporte[[#This Row],[Wert 
(Zahl)]]*Warentransporte[[#This Row],[Scope 1 Emissionsfaktor '[kg CO2e/Einheit']]],"")</f>
        <v/>
      </c>
      <c r="R223" s="15" t="str">
        <f>IFERROR(Warentransporte[[#This Row],[Wert 
(Zahl)]]*Warentransporte[[#This Row],[Scope 2 Emissionsfaktor '[kg CO2e/Einheit']]],"")</f>
        <v/>
      </c>
      <c r="S223" s="15" t="str">
        <f>IFERROR(Warentransporte[[#This Row],[Wert 
(Zahl)]]*Warentransporte[[#This Row],[Scope 3 Emissionsfaktor '[kg CO2e/Einheit']]],"")</f>
        <v/>
      </c>
    </row>
    <row r="224" spans="2:19" s="95" customFormat="1" x14ac:dyDescent="0.35">
      <c r="B224" s="407"/>
      <c r="C224" s="10" t="str">
        <f t="shared" si="7"/>
        <v>Warentransporte</v>
      </c>
      <c r="D224" s="96"/>
      <c r="E224" s="96"/>
      <c r="F224" s="313"/>
      <c r="G224" s="10" t="str">
        <f>IFERROR(VLOOKUP(Warentransporte[[#This Row],[Thema_Bezeichung]],Emissionsfaktoren!$C$9:$N$201,4,FALSE),"")</f>
        <v/>
      </c>
      <c r="H224" s="96"/>
      <c r="I224" s="96"/>
      <c r="J224" s="96"/>
      <c r="K224" s="314" t="str">
        <f>IF(ISBLANK(Warentransporte[[#This Row],[Wert 
(Zahl)]]),"", SUM(Warentransporte[[#This Row],[Scope 1 Ergebnis location-based '[kg CO2e']]:[Scope 3 Ergebnis location-based '[kg CO2e']]]))</f>
        <v/>
      </c>
      <c r="L224" s="166"/>
      <c r="M224" s="15" t="str">
        <f>IF(ISBLANK(Warentransporte[[#This Row],[Emissionsquelle/Aktivität (Dropdown)]]),"",CONCATENATE(Warentransporte[[#This Row],[Sektor_Thema]]," - ",Warentransporte[[#This Row],[Emissionsquelle/Aktivität (Dropdown)]]))</f>
        <v/>
      </c>
      <c r="N224" s="15" t="str">
        <f>IFERROR(VLOOKUP(Warentransporte[[#This Row],[Thema_Bezeichung]],EFs_Warentransporte[],5,FALSE),"")</f>
        <v/>
      </c>
      <c r="O224" s="15" t="str">
        <f>IFERROR(VLOOKUP(Warentransporte[[#This Row],[Thema_Bezeichung]],EFs_Warentransporte[],6,FALSE),"")</f>
        <v/>
      </c>
      <c r="P224" s="15" t="str">
        <f>IFERROR(VLOOKUP(Warentransporte[[#This Row],[Thema_Bezeichung]],EFs_Warentransporte[],7,FALSE),"")</f>
        <v/>
      </c>
      <c r="Q224" s="15" t="str">
        <f>IFERROR(Warentransporte[[#This Row],[Wert 
(Zahl)]]*Warentransporte[[#This Row],[Scope 1 Emissionsfaktor '[kg CO2e/Einheit']]],"")</f>
        <v/>
      </c>
      <c r="R224" s="15" t="str">
        <f>IFERROR(Warentransporte[[#This Row],[Wert 
(Zahl)]]*Warentransporte[[#This Row],[Scope 2 Emissionsfaktor '[kg CO2e/Einheit']]],"")</f>
        <v/>
      </c>
      <c r="S224" s="15" t="str">
        <f>IFERROR(Warentransporte[[#This Row],[Wert 
(Zahl)]]*Warentransporte[[#This Row],[Scope 3 Emissionsfaktor '[kg CO2e/Einheit']]],"")</f>
        <v/>
      </c>
    </row>
    <row r="225" spans="2:19" s="95" customFormat="1" x14ac:dyDescent="0.35">
      <c r="B225" s="407"/>
      <c r="C225" s="10" t="str">
        <f t="shared" si="7"/>
        <v>Warentransporte</v>
      </c>
      <c r="D225" s="96"/>
      <c r="E225" s="96"/>
      <c r="F225" s="313"/>
      <c r="G225" s="10" t="str">
        <f>IFERROR(VLOOKUP(Warentransporte[[#This Row],[Thema_Bezeichung]],Emissionsfaktoren!$C$9:$N$201,4,FALSE),"")</f>
        <v/>
      </c>
      <c r="H225" s="96"/>
      <c r="I225" s="96"/>
      <c r="J225" s="96"/>
      <c r="K225" s="314" t="str">
        <f>IF(ISBLANK(Warentransporte[[#This Row],[Wert 
(Zahl)]]),"", SUM(Warentransporte[[#This Row],[Scope 1 Ergebnis location-based '[kg CO2e']]:[Scope 3 Ergebnis location-based '[kg CO2e']]]))</f>
        <v/>
      </c>
      <c r="L225" s="166"/>
      <c r="M225" s="15" t="str">
        <f>IF(ISBLANK(Warentransporte[[#This Row],[Emissionsquelle/Aktivität (Dropdown)]]),"",CONCATENATE(Warentransporte[[#This Row],[Sektor_Thema]]," - ",Warentransporte[[#This Row],[Emissionsquelle/Aktivität (Dropdown)]]))</f>
        <v/>
      </c>
      <c r="N225" s="15" t="str">
        <f>IFERROR(VLOOKUP(Warentransporte[[#This Row],[Thema_Bezeichung]],EFs_Warentransporte[],5,FALSE),"")</f>
        <v/>
      </c>
      <c r="O225" s="15" t="str">
        <f>IFERROR(VLOOKUP(Warentransporte[[#This Row],[Thema_Bezeichung]],EFs_Warentransporte[],6,FALSE),"")</f>
        <v/>
      </c>
      <c r="P225" s="15" t="str">
        <f>IFERROR(VLOOKUP(Warentransporte[[#This Row],[Thema_Bezeichung]],EFs_Warentransporte[],7,FALSE),"")</f>
        <v/>
      </c>
      <c r="Q225" s="15" t="str">
        <f>IFERROR(Warentransporte[[#This Row],[Wert 
(Zahl)]]*Warentransporte[[#This Row],[Scope 1 Emissionsfaktor '[kg CO2e/Einheit']]],"")</f>
        <v/>
      </c>
      <c r="R225" s="15" t="str">
        <f>IFERROR(Warentransporte[[#This Row],[Wert 
(Zahl)]]*Warentransporte[[#This Row],[Scope 2 Emissionsfaktor '[kg CO2e/Einheit']]],"")</f>
        <v/>
      </c>
      <c r="S225" s="15" t="str">
        <f>IFERROR(Warentransporte[[#This Row],[Wert 
(Zahl)]]*Warentransporte[[#This Row],[Scope 3 Emissionsfaktor '[kg CO2e/Einheit']]],"")</f>
        <v/>
      </c>
    </row>
    <row r="226" spans="2:19" s="95" customFormat="1" x14ac:dyDescent="0.35">
      <c r="B226" s="407"/>
      <c r="C226" s="10" t="str">
        <f t="shared" si="7"/>
        <v>Warentransporte</v>
      </c>
      <c r="D226" s="96"/>
      <c r="E226" s="96"/>
      <c r="F226" s="313"/>
      <c r="G226" s="10" t="str">
        <f>IFERROR(VLOOKUP(Warentransporte[[#This Row],[Thema_Bezeichung]],Emissionsfaktoren!$C$9:$N$201,4,FALSE),"")</f>
        <v/>
      </c>
      <c r="H226" s="96"/>
      <c r="I226" s="96"/>
      <c r="J226" s="96"/>
      <c r="K226" s="314" t="str">
        <f>IF(ISBLANK(Warentransporte[[#This Row],[Wert 
(Zahl)]]),"", SUM(Warentransporte[[#This Row],[Scope 1 Ergebnis location-based '[kg CO2e']]:[Scope 3 Ergebnis location-based '[kg CO2e']]]))</f>
        <v/>
      </c>
      <c r="L226" s="166"/>
      <c r="M226" s="15" t="str">
        <f>IF(ISBLANK(Warentransporte[[#This Row],[Emissionsquelle/Aktivität (Dropdown)]]),"",CONCATENATE(Warentransporte[[#This Row],[Sektor_Thema]]," - ",Warentransporte[[#This Row],[Emissionsquelle/Aktivität (Dropdown)]]))</f>
        <v/>
      </c>
      <c r="N226" s="15" t="str">
        <f>IFERROR(VLOOKUP(Warentransporte[[#This Row],[Thema_Bezeichung]],EFs_Warentransporte[],5,FALSE),"")</f>
        <v/>
      </c>
      <c r="O226" s="15" t="str">
        <f>IFERROR(VLOOKUP(Warentransporte[[#This Row],[Thema_Bezeichung]],EFs_Warentransporte[],6,FALSE),"")</f>
        <v/>
      </c>
      <c r="P226" s="15" t="str">
        <f>IFERROR(VLOOKUP(Warentransporte[[#This Row],[Thema_Bezeichung]],EFs_Warentransporte[],7,FALSE),"")</f>
        <v/>
      </c>
      <c r="Q226" s="15" t="str">
        <f>IFERROR(Warentransporte[[#This Row],[Wert 
(Zahl)]]*Warentransporte[[#This Row],[Scope 1 Emissionsfaktor '[kg CO2e/Einheit']]],"")</f>
        <v/>
      </c>
      <c r="R226" s="15" t="str">
        <f>IFERROR(Warentransporte[[#This Row],[Wert 
(Zahl)]]*Warentransporte[[#This Row],[Scope 2 Emissionsfaktor '[kg CO2e/Einheit']]],"")</f>
        <v/>
      </c>
      <c r="S226" s="15" t="str">
        <f>IFERROR(Warentransporte[[#This Row],[Wert 
(Zahl)]]*Warentransporte[[#This Row],[Scope 3 Emissionsfaktor '[kg CO2e/Einheit']]],"")</f>
        <v/>
      </c>
    </row>
    <row r="227" spans="2:19" s="95" customFormat="1" x14ac:dyDescent="0.35">
      <c r="B227" s="407"/>
      <c r="C227" s="10" t="str">
        <f t="shared" si="7"/>
        <v>Warentransporte</v>
      </c>
      <c r="D227" s="96"/>
      <c r="E227" s="96"/>
      <c r="F227" s="313"/>
      <c r="G227" s="10" t="str">
        <f>IFERROR(VLOOKUP(Warentransporte[[#This Row],[Thema_Bezeichung]],Emissionsfaktoren!$C$9:$N$201,4,FALSE),"")</f>
        <v/>
      </c>
      <c r="H227" s="96"/>
      <c r="I227" s="96"/>
      <c r="J227" s="96"/>
      <c r="K227" s="314" t="str">
        <f>IF(ISBLANK(Warentransporte[[#This Row],[Wert 
(Zahl)]]),"", SUM(Warentransporte[[#This Row],[Scope 1 Ergebnis location-based '[kg CO2e']]:[Scope 3 Ergebnis location-based '[kg CO2e']]]))</f>
        <v/>
      </c>
      <c r="L227" s="166"/>
      <c r="M227" s="15" t="str">
        <f>IF(ISBLANK(Warentransporte[[#This Row],[Emissionsquelle/Aktivität (Dropdown)]]),"",CONCATENATE(Warentransporte[[#This Row],[Sektor_Thema]]," - ",Warentransporte[[#This Row],[Emissionsquelle/Aktivität (Dropdown)]]))</f>
        <v/>
      </c>
      <c r="N227" s="15" t="str">
        <f>IFERROR(VLOOKUP(Warentransporte[[#This Row],[Thema_Bezeichung]],EFs_Warentransporte[],5,FALSE),"")</f>
        <v/>
      </c>
      <c r="O227" s="15" t="str">
        <f>IFERROR(VLOOKUP(Warentransporte[[#This Row],[Thema_Bezeichung]],EFs_Warentransporte[],6,FALSE),"")</f>
        <v/>
      </c>
      <c r="P227" s="15" t="str">
        <f>IFERROR(VLOOKUP(Warentransporte[[#This Row],[Thema_Bezeichung]],EFs_Warentransporte[],7,FALSE),"")</f>
        <v/>
      </c>
      <c r="Q227" s="15" t="str">
        <f>IFERROR(Warentransporte[[#This Row],[Wert 
(Zahl)]]*Warentransporte[[#This Row],[Scope 1 Emissionsfaktor '[kg CO2e/Einheit']]],"")</f>
        <v/>
      </c>
      <c r="R227" s="15" t="str">
        <f>IFERROR(Warentransporte[[#This Row],[Wert 
(Zahl)]]*Warentransporte[[#This Row],[Scope 2 Emissionsfaktor '[kg CO2e/Einheit']]],"")</f>
        <v/>
      </c>
      <c r="S227" s="15" t="str">
        <f>IFERROR(Warentransporte[[#This Row],[Wert 
(Zahl)]]*Warentransporte[[#This Row],[Scope 3 Emissionsfaktor '[kg CO2e/Einheit']]],"")</f>
        <v/>
      </c>
    </row>
    <row r="228" spans="2:19" s="95" customFormat="1" x14ac:dyDescent="0.35">
      <c r="B228" s="407"/>
      <c r="C228" s="10" t="str">
        <f t="shared" si="7"/>
        <v>Warentransporte</v>
      </c>
      <c r="D228" s="96"/>
      <c r="E228" s="96"/>
      <c r="F228" s="313"/>
      <c r="G228" s="10" t="str">
        <f>IFERROR(VLOOKUP(Warentransporte[[#This Row],[Thema_Bezeichung]],Emissionsfaktoren!$C$9:$N$201,4,FALSE),"")</f>
        <v/>
      </c>
      <c r="H228" s="96"/>
      <c r="I228" s="96"/>
      <c r="J228" s="96"/>
      <c r="K228" s="314" t="str">
        <f>IF(ISBLANK(Warentransporte[[#This Row],[Wert 
(Zahl)]]),"", SUM(Warentransporte[[#This Row],[Scope 1 Ergebnis location-based '[kg CO2e']]:[Scope 3 Ergebnis location-based '[kg CO2e']]]))</f>
        <v/>
      </c>
      <c r="L228" s="166"/>
      <c r="M228" s="15" t="str">
        <f>IF(ISBLANK(Warentransporte[[#This Row],[Emissionsquelle/Aktivität (Dropdown)]]),"",CONCATENATE(Warentransporte[[#This Row],[Sektor_Thema]]," - ",Warentransporte[[#This Row],[Emissionsquelle/Aktivität (Dropdown)]]))</f>
        <v/>
      </c>
      <c r="N228" s="15" t="str">
        <f>IFERROR(VLOOKUP(Warentransporte[[#This Row],[Thema_Bezeichung]],EFs_Warentransporte[],5,FALSE),"")</f>
        <v/>
      </c>
      <c r="O228" s="15" t="str">
        <f>IFERROR(VLOOKUP(Warentransporte[[#This Row],[Thema_Bezeichung]],EFs_Warentransporte[],6,FALSE),"")</f>
        <v/>
      </c>
      <c r="P228" s="15" t="str">
        <f>IFERROR(VLOOKUP(Warentransporte[[#This Row],[Thema_Bezeichung]],EFs_Warentransporte[],7,FALSE),"")</f>
        <v/>
      </c>
      <c r="Q228" s="15" t="str">
        <f>IFERROR(Warentransporte[[#This Row],[Wert 
(Zahl)]]*Warentransporte[[#This Row],[Scope 1 Emissionsfaktor '[kg CO2e/Einheit']]],"")</f>
        <v/>
      </c>
      <c r="R228" s="15" t="str">
        <f>IFERROR(Warentransporte[[#This Row],[Wert 
(Zahl)]]*Warentransporte[[#This Row],[Scope 2 Emissionsfaktor '[kg CO2e/Einheit']]],"")</f>
        <v/>
      </c>
      <c r="S228" s="15" t="str">
        <f>IFERROR(Warentransporte[[#This Row],[Wert 
(Zahl)]]*Warentransporte[[#This Row],[Scope 3 Emissionsfaktor '[kg CO2e/Einheit']]],"")</f>
        <v/>
      </c>
    </row>
    <row r="229" spans="2:19" s="95" customFormat="1" x14ac:dyDescent="0.35">
      <c r="B229" s="407"/>
      <c r="C229" s="10" t="str">
        <f t="shared" si="7"/>
        <v>Warentransporte</v>
      </c>
      <c r="D229" s="96"/>
      <c r="E229" s="96"/>
      <c r="F229" s="313"/>
      <c r="G229" s="10" t="str">
        <f>IFERROR(VLOOKUP(Warentransporte[[#This Row],[Thema_Bezeichung]],Emissionsfaktoren!$C$9:$N$201,4,FALSE),"")</f>
        <v/>
      </c>
      <c r="H229" s="96"/>
      <c r="I229" s="96"/>
      <c r="J229" s="96"/>
      <c r="K229" s="314" t="str">
        <f>IF(ISBLANK(Warentransporte[[#This Row],[Wert 
(Zahl)]]),"", SUM(Warentransporte[[#This Row],[Scope 1 Ergebnis location-based '[kg CO2e']]:[Scope 3 Ergebnis location-based '[kg CO2e']]]))</f>
        <v/>
      </c>
      <c r="L229" s="166"/>
      <c r="M229" s="15" t="str">
        <f>IF(ISBLANK(Warentransporte[[#This Row],[Emissionsquelle/Aktivität (Dropdown)]]),"",CONCATENATE(Warentransporte[[#This Row],[Sektor_Thema]]," - ",Warentransporte[[#This Row],[Emissionsquelle/Aktivität (Dropdown)]]))</f>
        <v/>
      </c>
      <c r="N229" s="15" t="str">
        <f>IFERROR(VLOOKUP(Warentransporte[[#This Row],[Thema_Bezeichung]],EFs_Warentransporte[],5,FALSE),"")</f>
        <v/>
      </c>
      <c r="O229" s="15" t="str">
        <f>IFERROR(VLOOKUP(Warentransporte[[#This Row],[Thema_Bezeichung]],EFs_Warentransporte[],6,FALSE),"")</f>
        <v/>
      </c>
      <c r="P229" s="15" t="str">
        <f>IFERROR(VLOOKUP(Warentransporte[[#This Row],[Thema_Bezeichung]],EFs_Warentransporte[],7,FALSE),"")</f>
        <v/>
      </c>
      <c r="Q229" s="15" t="str">
        <f>IFERROR(Warentransporte[[#This Row],[Wert 
(Zahl)]]*Warentransporte[[#This Row],[Scope 1 Emissionsfaktor '[kg CO2e/Einheit']]],"")</f>
        <v/>
      </c>
      <c r="R229" s="15" t="str">
        <f>IFERROR(Warentransporte[[#This Row],[Wert 
(Zahl)]]*Warentransporte[[#This Row],[Scope 2 Emissionsfaktor '[kg CO2e/Einheit']]],"")</f>
        <v/>
      </c>
      <c r="S229" s="15" t="str">
        <f>IFERROR(Warentransporte[[#This Row],[Wert 
(Zahl)]]*Warentransporte[[#This Row],[Scope 3 Emissionsfaktor '[kg CO2e/Einheit']]],"")</f>
        <v/>
      </c>
    </row>
    <row r="230" spans="2:19" s="95" customFormat="1" x14ac:dyDescent="0.35">
      <c r="B230" s="407"/>
      <c r="C230" s="10" t="str">
        <f t="shared" si="7"/>
        <v>Warentransporte</v>
      </c>
      <c r="D230" s="96"/>
      <c r="E230" s="96"/>
      <c r="F230" s="313"/>
      <c r="G230" s="10" t="str">
        <f>IFERROR(VLOOKUP(Warentransporte[[#This Row],[Thema_Bezeichung]],Emissionsfaktoren!$C$9:$N$201,4,FALSE),"")</f>
        <v/>
      </c>
      <c r="H230" s="96"/>
      <c r="I230" s="96"/>
      <c r="J230" s="96"/>
      <c r="K230" s="314" t="str">
        <f>IF(ISBLANK(Warentransporte[[#This Row],[Wert 
(Zahl)]]),"", SUM(Warentransporte[[#This Row],[Scope 1 Ergebnis location-based '[kg CO2e']]:[Scope 3 Ergebnis location-based '[kg CO2e']]]))</f>
        <v/>
      </c>
      <c r="L230" s="166"/>
      <c r="M230" s="15" t="str">
        <f>IF(ISBLANK(Warentransporte[[#This Row],[Emissionsquelle/Aktivität (Dropdown)]]),"",CONCATENATE(Warentransporte[[#This Row],[Sektor_Thema]]," - ",Warentransporte[[#This Row],[Emissionsquelle/Aktivität (Dropdown)]]))</f>
        <v/>
      </c>
      <c r="N230" s="15" t="str">
        <f>IFERROR(VLOOKUP(Warentransporte[[#This Row],[Thema_Bezeichung]],EFs_Warentransporte[],5,FALSE),"")</f>
        <v/>
      </c>
      <c r="O230" s="15" t="str">
        <f>IFERROR(VLOOKUP(Warentransporte[[#This Row],[Thema_Bezeichung]],EFs_Warentransporte[],6,FALSE),"")</f>
        <v/>
      </c>
      <c r="P230" s="15" t="str">
        <f>IFERROR(VLOOKUP(Warentransporte[[#This Row],[Thema_Bezeichung]],EFs_Warentransporte[],7,FALSE),"")</f>
        <v/>
      </c>
      <c r="Q230" s="15" t="str">
        <f>IFERROR(Warentransporte[[#This Row],[Wert 
(Zahl)]]*Warentransporte[[#This Row],[Scope 1 Emissionsfaktor '[kg CO2e/Einheit']]],"")</f>
        <v/>
      </c>
      <c r="R230" s="15" t="str">
        <f>IFERROR(Warentransporte[[#This Row],[Wert 
(Zahl)]]*Warentransporte[[#This Row],[Scope 2 Emissionsfaktor '[kg CO2e/Einheit']]],"")</f>
        <v/>
      </c>
      <c r="S230" s="15" t="str">
        <f>IFERROR(Warentransporte[[#This Row],[Wert 
(Zahl)]]*Warentransporte[[#This Row],[Scope 3 Emissionsfaktor '[kg CO2e/Einheit']]],"")</f>
        <v/>
      </c>
    </row>
    <row r="231" spans="2:19" s="95" customFormat="1" x14ac:dyDescent="0.35">
      <c r="B231" s="407"/>
      <c r="C231" s="10" t="str">
        <f t="shared" si="7"/>
        <v>Warentransporte</v>
      </c>
      <c r="D231" s="96"/>
      <c r="E231" s="96"/>
      <c r="F231" s="313"/>
      <c r="G231" s="10" t="str">
        <f>IFERROR(VLOOKUP(Warentransporte[[#This Row],[Thema_Bezeichung]],Emissionsfaktoren!$C$9:$N$201,4,FALSE),"")</f>
        <v/>
      </c>
      <c r="H231" s="96"/>
      <c r="I231" s="96"/>
      <c r="J231" s="96"/>
      <c r="K231" s="314" t="str">
        <f>IF(ISBLANK(Warentransporte[[#This Row],[Wert 
(Zahl)]]),"", SUM(Warentransporte[[#This Row],[Scope 1 Ergebnis location-based '[kg CO2e']]:[Scope 3 Ergebnis location-based '[kg CO2e']]]))</f>
        <v/>
      </c>
      <c r="L231" s="166"/>
      <c r="M231" s="15" t="str">
        <f>IF(ISBLANK(Warentransporte[[#This Row],[Emissionsquelle/Aktivität (Dropdown)]]),"",CONCATENATE(Warentransporte[[#This Row],[Sektor_Thema]]," - ",Warentransporte[[#This Row],[Emissionsquelle/Aktivität (Dropdown)]]))</f>
        <v/>
      </c>
      <c r="N231" s="15" t="str">
        <f>IFERROR(VLOOKUP(Warentransporte[[#This Row],[Thema_Bezeichung]],EFs_Warentransporte[],5,FALSE),"")</f>
        <v/>
      </c>
      <c r="O231" s="15" t="str">
        <f>IFERROR(VLOOKUP(Warentransporte[[#This Row],[Thema_Bezeichung]],EFs_Warentransporte[],6,FALSE),"")</f>
        <v/>
      </c>
      <c r="P231" s="15" t="str">
        <f>IFERROR(VLOOKUP(Warentransporte[[#This Row],[Thema_Bezeichung]],EFs_Warentransporte[],7,FALSE),"")</f>
        <v/>
      </c>
      <c r="Q231" s="15" t="str">
        <f>IFERROR(Warentransporte[[#This Row],[Wert 
(Zahl)]]*Warentransporte[[#This Row],[Scope 1 Emissionsfaktor '[kg CO2e/Einheit']]],"")</f>
        <v/>
      </c>
      <c r="R231" s="15" t="str">
        <f>IFERROR(Warentransporte[[#This Row],[Wert 
(Zahl)]]*Warentransporte[[#This Row],[Scope 2 Emissionsfaktor '[kg CO2e/Einheit']]],"")</f>
        <v/>
      </c>
      <c r="S231" s="15" t="str">
        <f>IFERROR(Warentransporte[[#This Row],[Wert 
(Zahl)]]*Warentransporte[[#This Row],[Scope 3 Emissionsfaktor '[kg CO2e/Einheit']]],"")</f>
        <v/>
      </c>
    </row>
    <row r="232" spans="2:19" s="95" customFormat="1" x14ac:dyDescent="0.35">
      <c r="B232" s="407"/>
      <c r="C232" s="10" t="str">
        <f t="shared" si="7"/>
        <v>Warentransporte</v>
      </c>
      <c r="D232" s="96"/>
      <c r="E232" s="96"/>
      <c r="F232" s="313"/>
      <c r="G232" s="10" t="str">
        <f>IFERROR(VLOOKUP(Warentransporte[[#This Row],[Thema_Bezeichung]],Emissionsfaktoren!$C$9:$N$201,4,FALSE),"")</f>
        <v/>
      </c>
      <c r="H232" s="96"/>
      <c r="I232" s="96"/>
      <c r="J232" s="96"/>
      <c r="K232" s="314" t="str">
        <f>IF(ISBLANK(Warentransporte[[#This Row],[Wert 
(Zahl)]]),"", SUM(Warentransporte[[#This Row],[Scope 1 Ergebnis location-based '[kg CO2e']]:[Scope 3 Ergebnis location-based '[kg CO2e']]]))</f>
        <v/>
      </c>
      <c r="L232" s="166"/>
      <c r="M232" s="15" t="str">
        <f>IF(ISBLANK(Warentransporte[[#This Row],[Emissionsquelle/Aktivität (Dropdown)]]),"",CONCATENATE(Warentransporte[[#This Row],[Sektor_Thema]]," - ",Warentransporte[[#This Row],[Emissionsquelle/Aktivität (Dropdown)]]))</f>
        <v/>
      </c>
      <c r="N232" s="15" t="str">
        <f>IFERROR(VLOOKUP(Warentransporte[[#This Row],[Thema_Bezeichung]],EFs_Warentransporte[],5,FALSE),"")</f>
        <v/>
      </c>
      <c r="O232" s="15" t="str">
        <f>IFERROR(VLOOKUP(Warentransporte[[#This Row],[Thema_Bezeichung]],EFs_Warentransporte[],6,FALSE),"")</f>
        <v/>
      </c>
      <c r="P232" s="15" t="str">
        <f>IFERROR(VLOOKUP(Warentransporte[[#This Row],[Thema_Bezeichung]],EFs_Warentransporte[],7,FALSE),"")</f>
        <v/>
      </c>
      <c r="Q232" s="15" t="str">
        <f>IFERROR(Warentransporte[[#This Row],[Wert 
(Zahl)]]*Warentransporte[[#This Row],[Scope 1 Emissionsfaktor '[kg CO2e/Einheit']]],"")</f>
        <v/>
      </c>
      <c r="R232" s="15" t="str">
        <f>IFERROR(Warentransporte[[#This Row],[Wert 
(Zahl)]]*Warentransporte[[#This Row],[Scope 2 Emissionsfaktor '[kg CO2e/Einheit']]],"")</f>
        <v/>
      </c>
      <c r="S232" s="15" t="str">
        <f>IFERROR(Warentransporte[[#This Row],[Wert 
(Zahl)]]*Warentransporte[[#This Row],[Scope 3 Emissionsfaktor '[kg CO2e/Einheit']]],"")</f>
        <v/>
      </c>
    </row>
    <row r="233" spans="2:19" s="95" customFormat="1" x14ac:dyDescent="0.35">
      <c r="B233" s="407"/>
      <c r="C233" s="10" t="str">
        <f t="shared" si="7"/>
        <v>Warentransporte</v>
      </c>
      <c r="D233" s="96"/>
      <c r="E233" s="96"/>
      <c r="F233" s="313"/>
      <c r="G233" s="10" t="str">
        <f>IFERROR(VLOOKUP(Warentransporte[[#This Row],[Thema_Bezeichung]],Emissionsfaktoren!$C$9:$N$201,4,FALSE),"")</f>
        <v/>
      </c>
      <c r="H233" s="96"/>
      <c r="I233" s="96"/>
      <c r="J233" s="96"/>
      <c r="K233" s="314" t="str">
        <f>IF(ISBLANK(Warentransporte[[#This Row],[Wert 
(Zahl)]]),"", SUM(Warentransporte[[#This Row],[Scope 1 Ergebnis location-based '[kg CO2e']]:[Scope 3 Ergebnis location-based '[kg CO2e']]]))</f>
        <v/>
      </c>
      <c r="L233" s="166"/>
      <c r="M233" s="15" t="str">
        <f>IF(ISBLANK(Warentransporte[[#This Row],[Emissionsquelle/Aktivität (Dropdown)]]),"",CONCATENATE(Warentransporte[[#This Row],[Sektor_Thema]]," - ",Warentransporte[[#This Row],[Emissionsquelle/Aktivität (Dropdown)]]))</f>
        <v/>
      </c>
      <c r="N233" s="15" t="str">
        <f>IFERROR(VLOOKUP(Warentransporte[[#This Row],[Thema_Bezeichung]],EFs_Warentransporte[],5,FALSE),"")</f>
        <v/>
      </c>
      <c r="O233" s="15" t="str">
        <f>IFERROR(VLOOKUP(Warentransporte[[#This Row],[Thema_Bezeichung]],EFs_Warentransporte[],6,FALSE),"")</f>
        <v/>
      </c>
      <c r="P233" s="15" t="str">
        <f>IFERROR(VLOOKUP(Warentransporte[[#This Row],[Thema_Bezeichung]],EFs_Warentransporte[],7,FALSE),"")</f>
        <v/>
      </c>
      <c r="Q233" s="15" t="str">
        <f>IFERROR(Warentransporte[[#This Row],[Wert 
(Zahl)]]*Warentransporte[[#This Row],[Scope 1 Emissionsfaktor '[kg CO2e/Einheit']]],"")</f>
        <v/>
      </c>
      <c r="R233" s="15" t="str">
        <f>IFERROR(Warentransporte[[#This Row],[Wert 
(Zahl)]]*Warentransporte[[#This Row],[Scope 2 Emissionsfaktor '[kg CO2e/Einheit']]],"")</f>
        <v/>
      </c>
      <c r="S233" s="15" t="str">
        <f>IFERROR(Warentransporte[[#This Row],[Wert 
(Zahl)]]*Warentransporte[[#This Row],[Scope 3 Emissionsfaktor '[kg CO2e/Einheit']]],"")</f>
        <v/>
      </c>
    </row>
    <row r="234" spans="2:19" s="95" customFormat="1" x14ac:dyDescent="0.35">
      <c r="B234" s="407"/>
      <c r="C234" s="10" t="str">
        <f t="shared" si="7"/>
        <v>Warentransporte</v>
      </c>
      <c r="D234" s="96"/>
      <c r="E234" s="96"/>
      <c r="F234" s="313"/>
      <c r="G234" s="10" t="str">
        <f>IFERROR(VLOOKUP(Warentransporte[[#This Row],[Thema_Bezeichung]],Emissionsfaktoren!$C$9:$N$201,4,FALSE),"")</f>
        <v/>
      </c>
      <c r="H234" s="96"/>
      <c r="I234" s="96"/>
      <c r="J234" s="96"/>
      <c r="K234" s="314" t="str">
        <f>IF(ISBLANK(Warentransporte[[#This Row],[Wert 
(Zahl)]]),"", SUM(Warentransporte[[#This Row],[Scope 1 Ergebnis location-based '[kg CO2e']]:[Scope 3 Ergebnis location-based '[kg CO2e']]]))</f>
        <v/>
      </c>
      <c r="L234" s="166"/>
      <c r="M234" s="15" t="str">
        <f>IF(ISBLANK(Warentransporte[[#This Row],[Emissionsquelle/Aktivität (Dropdown)]]),"",CONCATENATE(Warentransporte[[#This Row],[Sektor_Thema]]," - ",Warentransporte[[#This Row],[Emissionsquelle/Aktivität (Dropdown)]]))</f>
        <v/>
      </c>
      <c r="N234" s="15" t="str">
        <f>IFERROR(VLOOKUP(Warentransporte[[#This Row],[Thema_Bezeichung]],EFs_Warentransporte[],5,FALSE),"")</f>
        <v/>
      </c>
      <c r="O234" s="15" t="str">
        <f>IFERROR(VLOOKUP(Warentransporte[[#This Row],[Thema_Bezeichung]],EFs_Warentransporte[],6,FALSE),"")</f>
        <v/>
      </c>
      <c r="P234" s="15" t="str">
        <f>IFERROR(VLOOKUP(Warentransporte[[#This Row],[Thema_Bezeichung]],EFs_Warentransporte[],7,FALSE),"")</f>
        <v/>
      </c>
      <c r="Q234" s="15" t="str">
        <f>IFERROR(Warentransporte[[#This Row],[Wert 
(Zahl)]]*Warentransporte[[#This Row],[Scope 1 Emissionsfaktor '[kg CO2e/Einheit']]],"")</f>
        <v/>
      </c>
      <c r="R234" s="15" t="str">
        <f>IFERROR(Warentransporte[[#This Row],[Wert 
(Zahl)]]*Warentransporte[[#This Row],[Scope 2 Emissionsfaktor '[kg CO2e/Einheit']]],"")</f>
        <v/>
      </c>
      <c r="S234" s="15" t="str">
        <f>IFERROR(Warentransporte[[#This Row],[Wert 
(Zahl)]]*Warentransporte[[#This Row],[Scope 3 Emissionsfaktor '[kg CO2e/Einheit']]],"")</f>
        <v/>
      </c>
    </row>
    <row r="235" spans="2:19" s="95" customFormat="1" x14ac:dyDescent="0.35">
      <c r="B235" s="407"/>
      <c r="C235" s="10" t="str">
        <f t="shared" si="7"/>
        <v>Warentransporte</v>
      </c>
      <c r="D235" s="96"/>
      <c r="E235" s="96"/>
      <c r="F235" s="313"/>
      <c r="G235" s="10" t="str">
        <f>IFERROR(VLOOKUP(Warentransporte[[#This Row],[Thema_Bezeichung]],Emissionsfaktoren!$C$9:$N$201,4,FALSE),"")</f>
        <v/>
      </c>
      <c r="H235" s="96"/>
      <c r="I235" s="96"/>
      <c r="J235" s="96"/>
      <c r="K235" s="314" t="str">
        <f>IF(ISBLANK(Warentransporte[[#This Row],[Wert 
(Zahl)]]),"", SUM(Warentransporte[[#This Row],[Scope 1 Ergebnis location-based '[kg CO2e']]:[Scope 3 Ergebnis location-based '[kg CO2e']]]))</f>
        <v/>
      </c>
      <c r="L235" s="166"/>
      <c r="M235" s="15" t="str">
        <f>IF(ISBLANK(Warentransporte[[#This Row],[Emissionsquelle/Aktivität (Dropdown)]]),"",CONCATENATE(Warentransporte[[#This Row],[Sektor_Thema]]," - ",Warentransporte[[#This Row],[Emissionsquelle/Aktivität (Dropdown)]]))</f>
        <v/>
      </c>
      <c r="N235" s="15" t="str">
        <f>IFERROR(VLOOKUP(Warentransporte[[#This Row],[Thema_Bezeichung]],EFs_Warentransporte[],5,FALSE),"")</f>
        <v/>
      </c>
      <c r="O235" s="15" t="str">
        <f>IFERROR(VLOOKUP(Warentransporte[[#This Row],[Thema_Bezeichung]],EFs_Warentransporte[],6,FALSE),"")</f>
        <v/>
      </c>
      <c r="P235" s="15" t="str">
        <f>IFERROR(VLOOKUP(Warentransporte[[#This Row],[Thema_Bezeichung]],EFs_Warentransporte[],7,FALSE),"")</f>
        <v/>
      </c>
      <c r="Q235" s="15" t="str">
        <f>IFERROR(Warentransporte[[#This Row],[Wert 
(Zahl)]]*Warentransporte[[#This Row],[Scope 1 Emissionsfaktor '[kg CO2e/Einheit']]],"")</f>
        <v/>
      </c>
      <c r="R235" s="15" t="str">
        <f>IFERROR(Warentransporte[[#This Row],[Wert 
(Zahl)]]*Warentransporte[[#This Row],[Scope 2 Emissionsfaktor '[kg CO2e/Einheit']]],"")</f>
        <v/>
      </c>
      <c r="S235" s="15" t="str">
        <f>IFERROR(Warentransporte[[#This Row],[Wert 
(Zahl)]]*Warentransporte[[#This Row],[Scope 3 Emissionsfaktor '[kg CO2e/Einheit']]],"")</f>
        <v/>
      </c>
    </row>
    <row r="236" spans="2:19" s="95" customFormat="1" x14ac:dyDescent="0.35">
      <c r="B236" s="407"/>
      <c r="C236" s="96" t="str">
        <f t="shared" si="7"/>
        <v>Warentransporte</v>
      </c>
      <c r="D236" s="96"/>
      <c r="E236" s="96"/>
      <c r="F236" s="313"/>
      <c r="G236" s="96" t="str">
        <f>IFERROR(VLOOKUP(Warentransporte[[#This Row],[Thema_Bezeichung]],Emissionsfaktoren!$C$9:$N$201,4,FALSE),"")</f>
        <v/>
      </c>
      <c r="H236" s="96"/>
      <c r="I236" s="96"/>
      <c r="J236" s="96"/>
      <c r="K236" s="315" t="str">
        <f>IF(ISBLANK(Warentransporte[[#This Row],[Wert 
(Zahl)]]),"", SUM(Warentransporte[[#This Row],[Scope 1 Ergebnis location-based '[kg CO2e']]:[Scope 3 Ergebnis location-based '[kg CO2e']]]))</f>
        <v/>
      </c>
      <c r="L236" s="167"/>
      <c r="M236" s="100" t="str">
        <f>IF(ISBLANK(Warentransporte[[#This Row],[Emissionsquelle/Aktivität (Dropdown)]]),"",CONCATENATE(Warentransporte[[#This Row],[Sektor_Thema]]," - ",Warentransporte[[#This Row],[Emissionsquelle/Aktivität (Dropdown)]]))</f>
        <v/>
      </c>
      <c r="N236" s="100" t="str">
        <f>IFERROR(VLOOKUP(Warentransporte[[#This Row],[Thema_Bezeichung]],EFs_Warentransporte[],5,FALSE),"")</f>
        <v/>
      </c>
      <c r="O236" s="100" t="str">
        <f>IFERROR(VLOOKUP(Warentransporte[[#This Row],[Thema_Bezeichung]],EFs_Warentransporte[],6,FALSE),"")</f>
        <v/>
      </c>
      <c r="P236" s="100" t="str">
        <f>IFERROR(VLOOKUP(Warentransporte[[#This Row],[Thema_Bezeichung]],EFs_Warentransporte[],7,FALSE),"")</f>
        <v/>
      </c>
      <c r="Q236" s="100" t="str">
        <f>IFERROR(Warentransporte[[#This Row],[Wert 
(Zahl)]]*Warentransporte[[#This Row],[Scope 1 Emissionsfaktor '[kg CO2e/Einheit']]],"")</f>
        <v/>
      </c>
      <c r="R236" s="100" t="str">
        <f>IFERROR(Warentransporte[[#This Row],[Wert 
(Zahl)]]*Warentransporte[[#This Row],[Scope 2 Emissionsfaktor '[kg CO2e/Einheit']]],"")</f>
        <v/>
      </c>
      <c r="S236" s="100" t="str">
        <f>IFERROR(Warentransporte[[#This Row],[Wert 
(Zahl)]]*Warentransporte[[#This Row],[Scope 3 Emissionsfaktor '[kg CO2e/Einheit']]],"")</f>
        <v/>
      </c>
    </row>
    <row r="237" spans="2:19" s="95" customFormat="1" ht="15" thickBot="1" x14ac:dyDescent="0.4">
      <c r="B237" s="408"/>
      <c r="C237" s="96" t="str">
        <f t="shared" si="7"/>
        <v>Warentransporte</v>
      </c>
      <c r="D237" s="96"/>
      <c r="E237" s="96"/>
      <c r="F237" s="313"/>
      <c r="G237" s="96" t="str">
        <f>IFERROR(VLOOKUP(Warentransporte[[#This Row],[Thema_Bezeichung]],Emissionsfaktoren!$C$9:$N$201,4,FALSE),"")</f>
        <v/>
      </c>
      <c r="H237" s="96"/>
      <c r="I237" s="96"/>
      <c r="J237" s="96"/>
      <c r="K237" s="315" t="str">
        <f>IF(ISBLANK(Warentransporte[[#This Row],[Wert 
(Zahl)]]),"", SUM(Warentransporte[[#This Row],[Scope 1 Ergebnis location-based '[kg CO2e']]:[Scope 3 Ergebnis location-based '[kg CO2e']]]))</f>
        <v/>
      </c>
      <c r="L237" s="167"/>
      <c r="M237" s="100" t="str">
        <f>IF(ISBLANK(Warentransporte[[#This Row],[Emissionsquelle/Aktivität (Dropdown)]]),"",CONCATENATE(Warentransporte[[#This Row],[Sektor_Thema]]," - ",Warentransporte[[#This Row],[Emissionsquelle/Aktivität (Dropdown)]]))</f>
        <v/>
      </c>
      <c r="N237" s="100" t="str">
        <f>IFERROR(VLOOKUP(Warentransporte[[#This Row],[Thema_Bezeichung]],EFs_Warentransporte[],5,FALSE),"")</f>
        <v/>
      </c>
      <c r="O237" s="100" t="str">
        <f>IFERROR(VLOOKUP(Warentransporte[[#This Row],[Thema_Bezeichung]],EFs_Warentransporte[],6,FALSE),"")</f>
        <v/>
      </c>
      <c r="P237" s="100" t="str">
        <f>IFERROR(VLOOKUP(Warentransporte[[#This Row],[Thema_Bezeichung]],EFs_Warentransporte[],7,FALSE),"")</f>
        <v/>
      </c>
      <c r="Q237" s="100" t="str">
        <f>IFERROR(Warentransporte[[#This Row],[Wert 
(Zahl)]]*Warentransporte[[#This Row],[Scope 1 Emissionsfaktor '[kg CO2e/Einheit']]],"")</f>
        <v/>
      </c>
      <c r="R237" s="100" t="str">
        <f>IFERROR(Warentransporte[[#This Row],[Wert 
(Zahl)]]*Warentransporte[[#This Row],[Scope 2 Emissionsfaktor '[kg CO2e/Einheit']]],"")</f>
        <v/>
      </c>
      <c r="S237" s="100" t="str">
        <f>IFERROR(Warentransporte[[#This Row],[Wert 
(Zahl)]]*Warentransporte[[#This Row],[Scope 3 Emissionsfaktor '[kg CO2e/Einheit']]],"")</f>
        <v/>
      </c>
    </row>
    <row r="238" spans="2:19" s="2" customFormat="1" ht="15" thickTop="1" x14ac:dyDescent="0.35">
      <c r="B238" s="13"/>
      <c r="D238" s="2" t="s">
        <v>226</v>
      </c>
      <c r="K238" s="316">
        <f>SUBTOTAL(109,Warentransporte[Ergebnis '[kg CO2e'] (vorausgefüllt)])</f>
        <v>0</v>
      </c>
      <c r="L238" s="173"/>
      <c r="Q238" s="2">
        <f>SUBTOTAL(109,Warentransporte[Scope 1 Ergebnis location-based '[kg CO2e']])</f>
        <v>0</v>
      </c>
      <c r="R238" s="2">
        <f>SUBTOTAL(109,Warentransporte[Scope 2 Ergebnis location-based '[kg CO2e']])</f>
        <v>0</v>
      </c>
      <c r="S238" s="2">
        <f>SUBTOTAL(109,Warentransporte[Scope 3 Ergebnis location-based '[kg CO2e']])</f>
        <v>0</v>
      </c>
    </row>
    <row r="239" spans="2:19" ht="120" customHeight="1" x14ac:dyDescent="0.35">
      <c r="B239" s="197" t="s">
        <v>85</v>
      </c>
      <c r="C239" s="87"/>
      <c r="D239" s="87"/>
      <c r="E239" s="11"/>
      <c r="F239" s="11"/>
      <c r="G239" s="11"/>
      <c r="H239" s="11"/>
      <c r="I239" s="11"/>
      <c r="L239" s="169"/>
    </row>
  </sheetData>
  <sheetProtection algorithmName="SHA-512" hashValue="sDe1nDPms0P5C6XLU1rvonyIK7yYmS96ypdExjLmdqY6KXvg6QLghAfDeYFFErN/h0VCDiqsntk/j38ccl3gOQ==" saltValue="q8CNynyarZBHoEoQ4hJsSw==" spinCount="100000" sheet="1" insertRows="0"/>
  <mergeCells count="20">
    <mergeCell ref="D134:I134"/>
    <mergeCell ref="B110:B129"/>
    <mergeCell ref="B5:G5"/>
    <mergeCell ref="B8:G8"/>
    <mergeCell ref="D26:I26"/>
    <mergeCell ref="B22:I22"/>
    <mergeCell ref="B12:B19"/>
    <mergeCell ref="B29:B48"/>
    <mergeCell ref="B56:B75"/>
    <mergeCell ref="B83:B102"/>
    <mergeCell ref="D53:I53"/>
    <mergeCell ref="D80:I80"/>
    <mergeCell ref="D107:I107"/>
    <mergeCell ref="D161:I161"/>
    <mergeCell ref="B191:B210"/>
    <mergeCell ref="B137:B156"/>
    <mergeCell ref="B164:B183"/>
    <mergeCell ref="B218:B237"/>
    <mergeCell ref="D188:I188"/>
    <mergeCell ref="D215:I215"/>
  </mergeCells>
  <phoneticPr fontId="2" type="noConversion"/>
  <conditionalFormatting sqref="I29:I48">
    <cfRule type="expression" dxfId="8" priority="12">
      <formula>AND($E29&lt;&gt;"Fernwärme (Wert Energieversorger)",$E29&lt;&gt;"")</formula>
    </cfRule>
  </conditionalFormatting>
  <dataValidations count="12">
    <dataValidation type="list" allowBlank="1" showInputMessage="1" showErrorMessage="1" sqref="D83:D102 D218:D237 D56:D75 D137:D156 D110:D129 D191:D210 D164:D183 D29:D48" xr:uid="{9B3D46AF-22B0-43EA-9668-D6262B22DBEE}">
      <formula1>Gliederungselemente</formula1>
    </dataValidation>
    <dataValidation type="list" allowBlank="1" showInputMessage="1" showErrorMessage="1" sqref="C27 C54 C81 C108 C135 C162 C189 C216" xr:uid="{60FBAEA9-E023-4A61-9691-F22162802AD3}">
      <formula1>DD_Thema</formula1>
    </dataValidation>
    <dataValidation type="decimal" operator="notEqual" allowBlank="1" showInputMessage="1" showErrorMessage="1" errorTitle="Ungültiger Wert!" error="Bitte tragen Sie eine Zahl ein." sqref="F29:F33 F56:F60 F83 F110:F114 F191 F137:F141 F218 I77:J77 F164:F174 F176 I29:I48" xr:uid="{59753036-CE92-427E-AEE6-544D2810FD15}">
      <formula1>0</formula1>
    </dataValidation>
    <dataValidation type="list" allowBlank="1" showInputMessage="1" showErrorMessage="1" sqref="E56:E75" xr:uid="{3BD7F13D-8A28-4197-B044-207B668A44E6}">
      <formula1>DD_Strom</formula1>
    </dataValidation>
    <dataValidation type="list" allowBlank="1" showInputMessage="1" showErrorMessage="1" sqref="E83:E102" xr:uid="{6B2471A3-2C67-491F-97ED-281FE3ACA195}">
      <formula1>DD_Kühl_und_Kältemittel</formula1>
    </dataValidation>
    <dataValidation type="list" allowBlank="1" showInputMessage="1" showErrorMessage="1" sqref="E110:E129" xr:uid="{AA4BE034-E584-45E0-BD7B-5E3FCC78391F}">
      <formula1>DD_Fuhrpark</formula1>
    </dataValidation>
    <dataValidation type="list" allowBlank="1" showInputMessage="1" showErrorMessage="1" sqref="E137:E156" xr:uid="{DE023A48-290B-4E22-8144-8A8780D1B2EF}">
      <formula1>DD_Geschäftsreisen</formula1>
    </dataValidation>
    <dataValidation type="list" allowBlank="1" showInputMessage="1" showErrorMessage="1" sqref="E164:E177" xr:uid="{4FBE0D0F-FB42-4D23-9E0B-5B52B20C8DF8}">
      <formula1>DD_Pendeln_Mitarbeitende</formula1>
    </dataValidation>
    <dataValidation type="list" allowBlank="1" showInputMessage="1" showErrorMessage="1" sqref="E191:E210" xr:uid="{CE629705-47EE-46B6-A67B-724A9018EBE2}">
      <formula1>DD_Externe</formula1>
    </dataValidation>
    <dataValidation type="list" allowBlank="1" showInputMessage="1" showErrorMessage="1" sqref="E218:E237" xr:uid="{8D0B7E6C-C22C-4DE0-8004-79865B9658D9}">
      <formula1>DD_Warentransporte</formula1>
    </dataValidation>
    <dataValidation type="list" allowBlank="1" showInputMessage="1" showErrorMessage="1" sqref="E29:E48" xr:uid="{AF6B813B-FC71-41D6-8BEF-38CB93BF059D}">
      <formula1>DD_Wärme</formula1>
    </dataValidation>
    <dataValidation type="list" allowBlank="1" showInputMessage="1" showErrorMessage="1" sqref="E178:E183" xr:uid="{7C3EA488-D35E-43E5-A53A-DDF949F63EA2}">
      <formula1>INDIRECT($C178)</formula1>
    </dataValidation>
  </dataValidations>
  <hyperlinks>
    <hyperlink ref="E12" location="Bez_Wärme" display="Wärme" xr:uid="{32A3D0CE-092C-41CA-81C8-E0182E5F460B}"/>
    <hyperlink ref="E13:E19" location="'Datenerfassung (3)'!F23:F42" display="Energie_Wärme" xr:uid="{6EEC6C47-42BB-402B-97D5-88361B89A69A}"/>
    <hyperlink ref="B24" location="'Daten KlimaBilanzKultur'!B7:G19" display="Zurück zur Übersicht" xr:uid="{8F0CCDE1-5883-48A6-A56E-88EFCE52562D}"/>
    <hyperlink ref="E13" location="Bez_Strom" display="Strom" xr:uid="{CB7A2CD5-20F1-4427-9D86-D4430D2ED400}"/>
    <hyperlink ref="E14" location="Bez_Kühl_und_Kältemittel" display="Kühl- und Kältemittel" xr:uid="{E40D9E60-98BB-4D24-9F7C-D5BDD06B2FF9}"/>
    <hyperlink ref="E15" location="Bez_Fuhrpark" display="Fuhrpark" xr:uid="{7AA59E31-0BA9-4063-B05B-83FAE46A8693}"/>
    <hyperlink ref="E16" location="Bez_Geschäftsreisen" display="Geschäftsreisen" xr:uid="{0D206388-2281-4EA6-81CF-67C3A17C010D}"/>
    <hyperlink ref="E17" location="Bez_Pendeln" display="Pendeln der Mitarbeitenden" xr:uid="{FF340F6B-BA68-466E-9354-C2225490C220}"/>
    <hyperlink ref="E18" location="Bez_Externe" display="Externe (KünstlerInnen, freie Mitarbeitende)" xr:uid="{265C4515-1F7E-43F2-9624-36A2FBCB0A2F}"/>
    <hyperlink ref="E19" location="Bez_Warentransporte" display="Warentransporte" xr:uid="{4BB68926-6DC6-4BA4-AAF6-182B061699B8}"/>
    <hyperlink ref="B51" location="'Daten KlimaBilanzKultur'!B7:G19" display="Zurück zur Übersicht" xr:uid="{18ADBEA5-C4E9-4AB7-88B7-543D7ED139FA}"/>
    <hyperlink ref="B78" location="'Daten KlimaBilanzKultur'!B7:G19" display="Zurück zur Übersicht" xr:uid="{EC691562-ADAD-4AA7-AA52-21C6EF4A64DB}"/>
    <hyperlink ref="B105" location="'Daten KlimaBilanzKultur'!B7:G19" display="Zurück zur Übersicht" xr:uid="{FE565501-0078-4E52-834B-F8B8E4401F3B}"/>
    <hyperlink ref="B132" location="'Daten KlimaBilanzKultur'!B7:G19" display="Zurück zur Übersicht" xr:uid="{BFB3D4C9-D887-46FF-9083-32497F13EE9A}"/>
    <hyperlink ref="B159" location="'Daten KlimaBilanzKultur'!B7:G19" display="Zurück zur Übersicht" xr:uid="{1B40D025-FF41-419D-B9EE-FD7C45AEAA1E}"/>
    <hyperlink ref="B186" location="'Daten KlimaBilanzKultur'!B7:G19" display="Zurück zur Übersicht" xr:uid="{DFAFC4D4-73DA-4999-9071-E329A6D48600}"/>
    <hyperlink ref="B213" location="'Daten KlimaBilanzKultur'!B7:G19" display="Zurück zur Übersicht" xr:uid="{FBD13ACD-A085-466B-A5CA-59C05E6486B1}"/>
  </hyperlinks>
  <pageMargins left="0.7" right="0.7" top="0.78740157499999996" bottom="0.78740157499999996" header="0.3" footer="0.3"/>
  <pageSetup paperSize="9" orientation="portrait" r:id="rId1"/>
  <ignoredErrors>
    <ignoredError sqref="Q29:S29 D50:H52 D135:H136 D162:H163 D91:F102 D54:H55 D36:F46 D48:F48 H48 H36:H46 D267:H268 D224:H237 G218:H219 D197:F210 H191 D143:F156 D123:F129 D64:F75 D62:F63 D89:F90 D115:F122 D179:F183 D77:H79 D104:H106 D131:H133 E88:F88 D185:H187 H175:H178 H170:H174 H179:H183 D158:H160 D212:H214 D239:H239 H64:H68 H71:H75 H91:H102 H123:H129 H143:H156 H195:H210 H192:H194 F13:F19 D108:H109 D81:H82 D189:H190 D216:H217 F196 G220:H223" calculatedColumn="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3" r:id="rId4" name="Check Box 13">
              <controlPr defaultSize="0" autoFill="0" autoLine="0" autoPict="0">
                <anchor moveWithCells="1">
                  <from>
                    <xdr:col>6</xdr:col>
                    <xdr:colOff>495300</xdr:colOff>
                    <xdr:row>11</xdr:row>
                    <xdr:rowOff>0</xdr:rowOff>
                  </from>
                  <to>
                    <xdr:col>6</xdr:col>
                    <xdr:colOff>698500</xdr:colOff>
                    <xdr:row>11</xdr:row>
                    <xdr:rowOff>184150</xdr:rowOff>
                  </to>
                </anchor>
              </controlPr>
            </control>
          </mc:Choice>
        </mc:AlternateContent>
        <mc:AlternateContent xmlns:mc="http://schemas.openxmlformats.org/markup-compatibility/2006">
          <mc:Choice Requires="x14">
            <control shapeId="20509" r:id="rId5" name="Check Box 29">
              <controlPr defaultSize="0" autoFill="0" autoLine="0" autoPict="0">
                <anchor moveWithCells="1">
                  <from>
                    <xdr:col>6</xdr:col>
                    <xdr:colOff>495300</xdr:colOff>
                    <xdr:row>12</xdr:row>
                    <xdr:rowOff>0</xdr:rowOff>
                  </from>
                  <to>
                    <xdr:col>6</xdr:col>
                    <xdr:colOff>698500</xdr:colOff>
                    <xdr:row>12</xdr:row>
                    <xdr:rowOff>184150</xdr:rowOff>
                  </to>
                </anchor>
              </controlPr>
            </control>
          </mc:Choice>
        </mc:AlternateContent>
        <mc:AlternateContent xmlns:mc="http://schemas.openxmlformats.org/markup-compatibility/2006">
          <mc:Choice Requires="x14">
            <control shapeId="20510" r:id="rId6" name="Check Box 30">
              <controlPr defaultSize="0" autoFill="0" autoLine="0" autoPict="0">
                <anchor moveWithCells="1">
                  <from>
                    <xdr:col>6</xdr:col>
                    <xdr:colOff>495300</xdr:colOff>
                    <xdr:row>13</xdr:row>
                    <xdr:rowOff>0</xdr:rowOff>
                  </from>
                  <to>
                    <xdr:col>6</xdr:col>
                    <xdr:colOff>698500</xdr:colOff>
                    <xdr:row>13</xdr:row>
                    <xdr:rowOff>184150</xdr:rowOff>
                  </to>
                </anchor>
              </controlPr>
            </control>
          </mc:Choice>
        </mc:AlternateContent>
        <mc:AlternateContent xmlns:mc="http://schemas.openxmlformats.org/markup-compatibility/2006">
          <mc:Choice Requires="x14">
            <control shapeId="20511" r:id="rId7" name="Check Box 31">
              <controlPr defaultSize="0" autoFill="0" autoLine="0" autoPict="0">
                <anchor moveWithCells="1">
                  <from>
                    <xdr:col>6</xdr:col>
                    <xdr:colOff>495300</xdr:colOff>
                    <xdr:row>14</xdr:row>
                    <xdr:rowOff>0</xdr:rowOff>
                  </from>
                  <to>
                    <xdr:col>6</xdr:col>
                    <xdr:colOff>698500</xdr:colOff>
                    <xdr:row>14</xdr:row>
                    <xdr:rowOff>184150</xdr:rowOff>
                  </to>
                </anchor>
              </controlPr>
            </control>
          </mc:Choice>
        </mc:AlternateContent>
        <mc:AlternateContent xmlns:mc="http://schemas.openxmlformats.org/markup-compatibility/2006">
          <mc:Choice Requires="x14">
            <control shapeId="20512" r:id="rId8" name="Check Box 32">
              <controlPr defaultSize="0" autoFill="0" autoLine="0" autoPict="0">
                <anchor moveWithCells="1">
                  <from>
                    <xdr:col>6</xdr:col>
                    <xdr:colOff>495300</xdr:colOff>
                    <xdr:row>15</xdr:row>
                    <xdr:rowOff>0</xdr:rowOff>
                  </from>
                  <to>
                    <xdr:col>6</xdr:col>
                    <xdr:colOff>698500</xdr:colOff>
                    <xdr:row>15</xdr:row>
                    <xdr:rowOff>184150</xdr:rowOff>
                  </to>
                </anchor>
              </controlPr>
            </control>
          </mc:Choice>
        </mc:AlternateContent>
        <mc:AlternateContent xmlns:mc="http://schemas.openxmlformats.org/markup-compatibility/2006">
          <mc:Choice Requires="x14">
            <control shapeId="20513" r:id="rId9" name="Check Box 33">
              <controlPr defaultSize="0" autoFill="0" autoLine="0" autoPict="0">
                <anchor moveWithCells="1">
                  <from>
                    <xdr:col>6</xdr:col>
                    <xdr:colOff>495300</xdr:colOff>
                    <xdr:row>16</xdr:row>
                    <xdr:rowOff>0</xdr:rowOff>
                  </from>
                  <to>
                    <xdr:col>6</xdr:col>
                    <xdr:colOff>698500</xdr:colOff>
                    <xdr:row>16</xdr:row>
                    <xdr:rowOff>184150</xdr:rowOff>
                  </to>
                </anchor>
              </controlPr>
            </control>
          </mc:Choice>
        </mc:AlternateContent>
        <mc:AlternateContent xmlns:mc="http://schemas.openxmlformats.org/markup-compatibility/2006">
          <mc:Choice Requires="x14">
            <control shapeId="20514" r:id="rId10" name="Check Box 34">
              <controlPr defaultSize="0" autoFill="0" autoLine="0" autoPict="0">
                <anchor moveWithCells="1">
                  <from>
                    <xdr:col>6</xdr:col>
                    <xdr:colOff>495300</xdr:colOff>
                    <xdr:row>17</xdr:row>
                    <xdr:rowOff>0</xdr:rowOff>
                  </from>
                  <to>
                    <xdr:col>6</xdr:col>
                    <xdr:colOff>698500</xdr:colOff>
                    <xdr:row>17</xdr:row>
                    <xdr:rowOff>184150</xdr:rowOff>
                  </to>
                </anchor>
              </controlPr>
            </control>
          </mc:Choice>
        </mc:AlternateContent>
        <mc:AlternateContent xmlns:mc="http://schemas.openxmlformats.org/markup-compatibility/2006">
          <mc:Choice Requires="x14">
            <control shapeId="20515" r:id="rId11" name="Check Box 35">
              <controlPr defaultSize="0" autoFill="0" autoLine="0" autoPict="0">
                <anchor moveWithCells="1">
                  <from>
                    <xdr:col>6</xdr:col>
                    <xdr:colOff>495300</xdr:colOff>
                    <xdr:row>18</xdr:row>
                    <xdr:rowOff>0</xdr:rowOff>
                  </from>
                  <to>
                    <xdr:col>6</xdr:col>
                    <xdr:colOff>698500</xdr:colOff>
                    <xdr:row>18</xdr:row>
                    <xdr:rowOff>184150</xdr:rowOff>
                  </to>
                </anchor>
              </controlPr>
            </control>
          </mc:Choice>
        </mc:AlternateContent>
      </controls>
    </mc:Choice>
  </mc:AlternateContent>
  <tableParts count="8">
    <tablePart r:id="rId12"/>
    <tablePart r:id="rId13"/>
    <tablePart r:id="rId14"/>
    <tablePart r:id="rId15"/>
    <tablePart r:id="rId16"/>
    <tablePart r:id="rId17"/>
    <tablePart r:id="rId18"/>
    <tablePart r:id="rId19"/>
  </tableParts>
  <extLst>
    <ext xmlns:x14="http://schemas.microsoft.com/office/spreadsheetml/2009/9/main" uri="{CCE6A557-97BC-4b89-ADB6-D9C93CAAB3DF}">
      <x14:dataValidations xmlns:xm="http://schemas.microsoft.com/office/excel/2006/main" count="1">
        <x14:dataValidation type="list" allowBlank="1" showInputMessage="1" showErrorMessage="1" xr:uid="{205910A9-8292-47ED-ABB0-E02218C6DC51}">
          <x14:formula1>
            <xm:f>INDIRECT(Dropdowns!$B$80)</xm:f>
          </x14:formula1>
          <xm:sqref>H83:H102 H137:H156 H218:H237 H191:H210 H164:H183 H112:H129 H56:H69 H71:H75 H29:H48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C9EF6-EB16-4789-BE33-3D20FFC388D7}">
  <sheetPr>
    <tabColor rgb="FF5ABEFF"/>
  </sheetPr>
  <dimension ref="A3:AE122"/>
  <sheetViews>
    <sheetView showGridLines="0" zoomScaleNormal="100" workbookViewId="0"/>
  </sheetViews>
  <sheetFormatPr baseColWidth="10" defaultRowHeight="14.5" outlineLevelCol="1" x14ac:dyDescent="0.35"/>
  <cols>
    <col min="1" max="1" width="8.7265625" customWidth="1"/>
    <col min="3" max="3" width="26.453125" hidden="1" customWidth="1" outlineLevel="1"/>
    <col min="4" max="4" width="23.7265625" customWidth="1" collapsed="1"/>
    <col min="5" max="5" width="35.54296875" customWidth="1"/>
    <col min="6" max="6" width="17" customWidth="1"/>
    <col min="7" max="7" width="18" customWidth="1"/>
    <col min="8" max="8" width="19.81640625" customWidth="1"/>
    <col min="9" max="10" width="30.453125" customWidth="1"/>
    <col min="11" max="11" width="23.453125" customWidth="1"/>
    <col min="12" max="12" width="20" hidden="1" customWidth="1" outlineLevel="1"/>
    <col min="13" max="20" width="16.54296875" hidden="1" customWidth="1" outlineLevel="1"/>
    <col min="21" max="21" width="23.453125" customWidth="1" collapsed="1"/>
    <col min="22" max="27" width="23.453125" customWidth="1"/>
  </cols>
  <sheetData>
    <row r="3" spans="2:8" x14ac:dyDescent="0.35">
      <c r="B3" s="30" t="str">
        <f>IF(ISBLANK(Stammdaten!$C$8),"",Stammdaten!$C$8)</f>
        <v/>
      </c>
    </row>
    <row r="4" spans="2:8" ht="18.5" x14ac:dyDescent="0.45">
      <c r="B4" s="134" t="s">
        <v>370</v>
      </c>
      <c r="F4" s="5"/>
    </row>
    <row r="5" spans="2:8" ht="179.25" customHeight="1" x14ac:dyDescent="0.35">
      <c r="B5" s="409" t="s">
        <v>416</v>
      </c>
      <c r="C5" s="409"/>
      <c r="D5" s="409"/>
      <c r="E5" s="409"/>
      <c r="F5" s="409"/>
      <c r="G5" s="409"/>
    </row>
    <row r="6" spans="2:8" ht="18.5" x14ac:dyDescent="0.45">
      <c r="B6" s="16"/>
      <c r="F6" s="5"/>
    </row>
    <row r="7" spans="2:8" ht="18.5" x14ac:dyDescent="0.45">
      <c r="B7" s="134" t="s">
        <v>216</v>
      </c>
      <c r="F7" s="5"/>
    </row>
    <row r="8" spans="2:8" ht="4.5" customHeight="1" x14ac:dyDescent="0.45">
      <c r="B8" s="16"/>
      <c r="F8" s="5"/>
    </row>
    <row r="9" spans="2:8" ht="29.5" thickBot="1" x14ac:dyDescent="0.4">
      <c r="B9" s="57"/>
      <c r="C9" s="131" t="s">
        <v>79</v>
      </c>
      <c r="D9" s="132" t="s">
        <v>17</v>
      </c>
      <c r="E9" s="132" t="s">
        <v>366</v>
      </c>
      <c r="F9" s="133" t="s">
        <v>134</v>
      </c>
      <c r="G9" s="133" t="s">
        <v>215</v>
      </c>
      <c r="H9" s="48"/>
    </row>
    <row r="10" spans="2:8" s="9" customFormat="1" ht="18" customHeight="1" thickTop="1" x14ac:dyDescent="0.35">
      <c r="B10" s="420" t="s">
        <v>369</v>
      </c>
      <c r="C10" s="125" t="s">
        <v>78</v>
      </c>
      <c r="D10" s="119" t="s">
        <v>19</v>
      </c>
      <c r="E10" s="139" t="s">
        <v>75</v>
      </c>
      <c r="F10" s="120" t="str">
        <f>IF(Anreise_Besuchende[[#Totals],[Ergebnis '[kg CO2e'] (vorausgefüllt)]]=0,"nein","ja")</f>
        <v>nein</v>
      </c>
      <c r="G10" s="126"/>
      <c r="H10" s="55" t="s">
        <v>281</v>
      </c>
    </row>
    <row r="11" spans="2:8" s="9" customFormat="1" ht="18" customHeight="1" x14ac:dyDescent="0.35">
      <c r="B11" s="421"/>
      <c r="C11" s="127" t="s">
        <v>242</v>
      </c>
      <c r="D11" s="121" t="s">
        <v>20</v>
      </c>
      <c r="E11" s="140" t="s">
        <v>339</v>
      </c>
      <c r="F11" s="122" t="str">
        <f>IF(Medien[[#Totals],[Ergebnis '[kg CO2e'] (vorausgefüllt)]]=0,"nein","ja")</f>
        <v>nein</v>
      </c>
      <c r="G11" s="128"/>
      <c r="H11" s="55"/>
    </row>
    <row r="12" spans="2:8" s="9" customFormat="1" ht="18" customHeight="1" x14ac:dyDescent="0.35">
      <c r="B12" s="421"/>
      <c r="C12" s="129" t="s">
        <v>52</v>
      </c>
      <c r="D12" s="123" t="s">
        <v>20</v>
      </c>
      <c r="E12" s="141" t="s">
        <v>23</v>
      </c>
      <c r="F12" s="124" t="str">
        <f>IF(IT_Dienstleistungen[[#Totals],[Ergebnis '[kg CO2e'] (vorausgefüllt)]]=0,"nein","ja")</f>
        <v>nein</v>
      </c>
      <c r="G12" s="130"/>
      <c r="H12" s="55" t="s">
        <v>282</v>
      </c>
    </row>
    <row r="13" spans="2:8" s="9" customFormat="1" ht="18" customHeight="1" x14ac:dyDescent="0.35">
      <c r="B13" s="421"/>
      <c r="C13" s="127" t="s">
        <v>53</v>
      </c>
      <c r="D13" s="121" t="s">
        <v>340</v>
      </c>
      <c r="E13" s="140" t="s">
        <v>22</v>
      </c>
      <c r="F13" s="122" t="str">
        <f>IF(Relevante_Stoffströme[[#Totals],[Ergebnis '[kg CO2e'] (vorausgefüllt)]]=0,"nein","ja")</f>
        <v>nein</v>
      </c>
      <c r="G13" s="128"/>
      <c r="H13" s="55" t="s">
        <v>283</v>
      </c>
    </row>
    <row r="14" spans="2:8" ht="51.75" customHeight="1" x14ac:dyDescent="0.35"/>
    <row r="15" spans="2:8" x14ac:dyDescent="0.35">
      <c r="B15" s="135" t="s">
        <v>86</v>
      </c>
    </row>
    <row r="16" spans="2:8" ht="18.5" x14ac:dyDescent="0.45">
      <c r="B16" s="134" t="s">
        <v>75</v>
      </c>
    </row>
    <row r="17" spans="2:18" s="1" customFormat="1" ht="80.25" customHeight="1" x14ac:dyDescent="0.35">
      <c r="B17" s="303" t="s">
        <v>93</v>
      </c>
      <c r="C17" s="304"/>
      <c r="D17" s="404" t="s">
        <v>417</v>
      </c>
      <c r="E17" s="404"/>
      <c r="F17" s="404"/>
      <c r="G17" s="404"/>
      <c r="H17" s="404"/>
      <c r="I17" s="405"/>
    </row>
    <row r="18" spans="2:18" x14ac:dyDescent="0.35">
      <c r="C18" t="s">
        <v>78</v>
      </c>
    </row>
    <row r="19" spans="2:18" ht="44" thickBot="1" x14ac:dyDescent="0.4">
      <c r="B19" s="10"/>
      <c r="C19" s="27" t="s">
        <v>51</v>
      </c>
      <c r="D19" s="158" t="s">
        <v>214</v>
      </c>
      <c r="E19" s="158" t="s">
        <v>200</v>
      </c>
      <c r="F19" s="158" t="s">
        <v>201</v>
      </c>
      <c r="G19" s="158" t="s">
        <v>397</v>
      </c>
      <c r="H19" s="158" t="s">
        <v>202</v>
      </c>
      <c r="I19" s="102" t="s">
        <v>80</v>
      </c>
      <c r="J19" s="102" t="s">
        <v>81</v>
      </c>
      <c r="K19" s="142" t="s">
        <v>322</v>
      </c>
      <c r="L19" s="103" t="s">
        <v>241</v>
      </c>
      <c r="M19" s="103" t="s">
        <v>87</v>
      </c>
      <c r="N19" s="103" t="s">
        <v>89</v>
      </c>
      <c r="O19" s="103" t="s">
        <v>88</v>
      </c>
      <c r="P19" s="103" t="s">
        <v>92</v>
      </c>
      <c r="Q19" s="103" t="s">
        <v>91</v>
      </c>
      <c r="R19" s="103" t="s">
        <v>90</v>
      </c>
    </row>
    <row r="20" spans="2:18" s="95" customFormat="1" ht="15" thickTop="1" x14ac:dyDescent="0.35">
      <c r="B20" s="417" t="s">
        <v>75</v>
      </c>
      <c r="C20" t="str">
        <f t="shared" ref="C20:C39" si="0">$C$18</f>
        <v>Anreise_Besuchende</v>
      </c>
      <c r="D20" s="96"/>
      <c r="E20" s="96"/>
      <c r="F20" s="313"/>
      <c r="G20" s="312"/>
      <c r="H20" s="96"/>
      <c r="I20" s="96"/>
      <c r="J20" s="96"/>
      <c r="K20" s="314" t="str">
        <f>IF(ISBLANK(Anreise_Besuchende[[#This Row],[Besucheranzahl]]),"", SUM(Anreise_Besuchende[[#This Row],[Scope 1 Ergebnis location-based '[kg CO2e']]:[Scope 3 Ergebnis location-based '[kg CO2e']]]))</f>
        <v/>
      </c>
      <c r="L20" s="15" t="str">
        <f>IF(ISBLANK(Anreise_Besuchende[[#This Row],[Verkehrsmittel (Dropdown)]]),"",CONCATENATE(Anreise_Besuchende[[#This Row],[Sektor_Thema]]," - ",Anreise_Besuchende[[#This Row],[Verkehrsmittel (Dropdown)]]))</f>
        <v/>
      </c>
      <c r="M20" s="15" t="str">
        <f>IFERROR(VLOOKUP(Anreise_Besuchende[[#This Row],[Thema_Bezeichung]],EFs_Besuchende[],5,FALSE),"")</f>
        <v/>
      </c>
      <c r="N20" s="15" t="str">
        <f>IFERROR(VLOOKUP(Anreise_Besuchende[[#This Row],[Thema_Bezeichung]],EFs_Besuchende[],6,FALSE),"")</f>
        <v/>
      </c>
      <c r="O20" s="15" t="str">
        <f>IFERROR(VLOOKUP(Anreise_Besuchende[[#This Row],[Thema_Bezeichung]],EFs_Besuchende[],7,FALSE),"")</f>
        <v/>
      </c>
      <c r="P20" s="15" t="str">
        <f>IFERROR(Anreise_Besuchende[[#This Row],[Besucheranzahl]]*Anreise_Besuchende[[#This Row],[Durchschnittliche Distanz 
(km einfach)]]*Anreise_Besuchende[[#This Row],[Scope 1 Emissionsfaktor '[kg CO2e/Einheit']]]*2,"")</f>
        <v/>
      </c>
      <c r="Q20" s="15" t="str">
        <f>IFERROR(Anreise_Besuchende[[#This Row],[Besucheranzahl]]*Anreise_Besuchende[[#This Row],[Durchschnittliche Distanz 
(km einfach)]]*Anreise_Besuchende[[#This Row],[Scope 2 Emissionsfaktor '[kg CO2e/Einheit']]]*2,"")</f>
        <v/>
      </c>
      <c r="R20" s="15" t="str">
        <f>IFERROR(Anreise_Besuchende[[#This Row],[Besucheranzahl]]*Anreise_Besuchende[[#This Row],[Durchschnittliche Distanz 
(km einfach)]]*Anreise_Besuchende[[#This Row],[Scope 3 Emissionsfaktor '[kg CO2e/Einheit']]]*2,"")</f>
        <v/>
      </c>
    </row>
    <row r="21" spans="2:18" s="95" customFormat="1" x14ac:dyDescent="0.35">
      <c r="B21" s="418"/>
      <c r="C21" t="str">
        <f t="shared" si="0"/>
        <v>Anreise_Besuchende</v>
      </c>
      <c r="D21" s="96"/>
      <c r="E21" s="96"/>
      <c r="F21" s="313"/>
      <c r="G21" s="312"/>
      <c r="H21" s="96"/>
      <c r="I21" s="96"/>
      <c r="J21" s="96"/>
      <c r="K21" s="314" t="str">
        <f>IF(ISBLANK(Anreise_Besuchende[[#This Row],[Besucheranzahl]]),"", SUM(Anreise_Besuchende[[#This Row],[Scope 1 Ergebnis location-based '[kg CO2e']]:[Scope 3 Ergebnis location-based '[kg CO2e']]]))</f>
        <v/>
      </c>
      <c r="L21" s="15" t="str">
        <f>IF(ISBLANK(Anreise_Besuchende[[#This Row],[Verkehrsmittel (Dropdown)]]),"",CONCATENATE(Anreise_Besuchende[[#This Row],[Sektor_Thema]]," - ",Anreise_Besuchende[[#This Row],[Verkehrsmittel (Dropdown)]]))</f>
        <v/>
      </c>
      <c r="M21" s="15" t="str">
        <f>IFERROR(VLOOKUP(Anreise_Besuchende[[#This Row],[Thema_Bezeichung]],EFs_Besuchende[],5,FALSE),"")</f>
        <v/>
      </c>
      <c r="N21" s="15" t="str">
        <f>IFERROR(VLOOKUP(Anreise_Besuchende[[#This Row],[Thema_Bezeichung]],EFs_Besuchende[],6,FALSE),"")</f>
        <v/>
      </c>
      <c r="O21" s="15" t="str">
        <f>IFERROR(VLOOKUP(Anreise_Besuchende[[#This Row],[Thema_Bezeichung]],EFs_Besuchende[],7,FALSE),"")</f>
        <v/>
      </c>
      <c r="P21" s="15" t="str">
        <f>IFERROR(Anreise_Besuchende[[#This Row],[Besucheranzahl]]*Anreise_Besuchende[[#This Row],[Durchschnittliche Distanz 
(km einfach)]]*Anreise_Besuchende[[#This Row],[Scope 1 Emissionsfaktor '[kg CO2e/Einheit']]]*2,"")</f>
        <v/>
      </c>
      <c r="Q21" s="15" t="str">
        <f>IFERROR(Anreise_Besuchende[[#This Row],[Besucheranzahl]]*Anreise_Besuchende[[#This Row],[Durchschnittliche Distanz 
(km einfach)]]*Anreise_Besuchende[[#This Row],[Scope 2 Emissionsfaktor '[kg CO2e/Einheit']]]*2,"")</f>
        <v/>
      </c>
      <c r="R21" s="15" t="str">
        <f>IFERROR(Anreise_Besuchende[[#This Row],[Besucheranzahl]]*Anreise_Besuchende[[#This Row],[Durchschnittliche Distanz 
(km einfach)]]*Anreise_Besuchende[[#This Row],[Scope 3 Emissionsfaktor '[kg CO2e/Einheit']]]*2,"")</f>
        <v/>
      </c>
    </row>
    <row r="22" spans="2:18" s="95" customFormat="1" x14ac:dyDescent="0.35">
      <c r="B22" s="418"/>
      <c r="C22" t="str">
        <f t="shared" si="0"/>
        <v>Anreise_Besuchende</v>
      </c>
      <c r="D22" s="96"/>
      <c r="E22" s="96"/>
      <c r="F22" s="313"/>
      <c r="G22" s="312"/>
      <c r="H22" s="96"/>
      <c r="I22" s="96"/>
      <c r="J22" s="96"/>
      <c r="K22" s="314" t="str">
        <f>IF(ISBLANK(Anreise_Besuchende[[#This Row],[Besucheranzahl]]),"", SUM(Anreise_Besuchende[[#This Row],[Scope 1 Ergebnis location-based '[kg CO2e']]:[Scope 3 Ergebnis location-based '[kg CO2e']]]))</f>
        <v/>
      </c>
      <c r="L22" s="15" t="str">
        <f>IF(ISBLANK(Anreise_Besuchende[[#This Row],[Verkehrsmittel (Dropdown)]]),"",CONCATENATE(Anreise_Besuchende[[#This Row],[Sektor_Thema]]," - ",Anreise_Besuchende[[#This Row],[Verkehrsmittel (Dropdown)]]))</f>
        <v/>
      </c>
      <c r="M22" s="15" t="str">
        <f>IFERROR(VLOOKUP(Anreise_Besuchende[[#This Row],[Thema_Bezeichung]],EFs_Besuchende[],5,FALSE),"")</f>
        <v/>
      </c>
      <c r="N22" s="15" t="str">
        <f>IFERROR(VLOOKUP(Anreise_Besuchende[[#This Row],[Thema_Bezeichung]],EFs_Besuchende[],6,FALSE),"")</f>
        <v/>
      </c>
      <c r="O22" s="15" t="str">
        <f>IFERROR(VLOOKUP(Anreise_Besuchende[[#This Row],[Thema_Bezeichung]],EFs_Besuchende[],7,FALSE),"")</f>
        <v/>
      </c>
      <c r="P22" s="15" t="str">
        <f>IFERROR(Anreise_Besuchende[[#This Row],[Besucheranzahl]]*Anreise_Besuchende[[#This Row],[Durchschnittliche Distanz 
(km einfach)]]*Anreise_Besuchende[[#This Row],[Scope 1 Emissionsfaktor '[kg CO2e/Einheit']]]*2,"")</f>
        <v/>
      </c>
      <c r="Q22" s="15" t="str">
        <f>IFERROR(Anreise_Besuchende[[#This Row],[Besucheranzahl]]*Anreise_Besuchende[[#This Row],[Durchschnittliche Distanz 
(km einfach)]]*Anreise_Besuchende[[#This Row],[Scope 2 Emissionsfaktor '[kg CO2e/Einheit']]]*2,"")</f>
        <v/>
      </c>
      <c r="R22" s="15" t="str">
        <f>IFERROR(Anreise_Besuchende[[#This Row],[Besucheranzahl]]*Anreise_Besuchende[[#This Row],[Durchschnittliche Distanz 
(km einfach)]]*Anreise_Besuchende[[#This Row],[Scope 3 Emissionsfaktor '[kg CO2e/Einheit']]]*2,"")</f>
        <v/>
      </c>
    </row>
    <row r="23" spans="2:18" s="95" customFormat="1" x14ac:dyDescent="0.35">
      <c r="B23" s="418"/>
      <c r="C23" t="str">
        <f t="shared" si="0"/>
        <v>Anreise_Besuchende</v>
      </c>
      <c r="D23" s="96"/>
      <c r="E23" s="96"/>
      <c r="F23" s="313"/>
      <c r="G23" s="312"/>
      <c r="H23" s="96"/>
      <c r="I23" s="96"/>
      <c r="J23" s="96"/>
      <c r="K23" s="314" t="str">
        <f>IF(ISBLANK(Anreise_Besuchende[[#This Row],[Besucheranzahl]]),"", SUM(Anreise_Besuchende[[#This Row],[Scope 1 Ergebnis location-based '[kg CO2e']]:[Scope 3 Ergebnis location-based '[kg CO2e']]]))</f>
        <v/>
      </c>
      <c r="L23" s="15" t="str">
        <f>IF(ISBLANK(Anreise_Besuchende[[#This Row],[Verkehrsmittel (Dropdown)]]),"",CONCATENATE(Anreise_Besuchende[[#This Row],[Sektor_Thema]]," - ",Anreise_Besuchende[[#This Row],[Verkehrsmittel (Dropdown)]]))</f>
        <v/>
      </c>
      <c r="M23" s="15" t="str">
        <f>IFERROR(VLOOKUP(Anreise_Besuchende[[#This Row],[Thema_Bezeichung]],EFs_Besuchende[],5,FALSE),"")</f>
        <v/>
      </c>
      <c r="N23" s="15" t="str">
        <f>IFERROR(VLOOKUP(Anreise_Besuchende[[#This Row],[Thema_Bezeichung]],EFs_Besuchende[],6,FALSE),"")</f>
        <v/>
      </c>
      <c r="O23" s="15" t="str">
        <f>IFERROR(VLOOKUP(Anreise_Besuchende[[#This Row],[Thema_Bezeichung]],EFs_Besuchende[],7,FALSE),"")</f>
        <v/>
      </c>
      <c r="P23" s="15" t="str">
        <f>IFERROR(Anreise_Besuchende[[#This Row],[Besucheranzahl]]*Anreise_Besuchende[[#This Row],[Durchschnittliche Distanz 
(km einfach)]]*Anreise_Besuchende[[#This Row],[Scope 1 Emissionsfaktor '[kg CO2e/Einheit']]]*2,"")</f>
        <v/>
      </c>
      <c r="Q23" s="15" t="str">
        <f>IFERROR(Anreise_Besuchende[[#This Row],[Besucheranzahl]]*Anreise_Besuchende[[#This Row],[Durchschnittliche Distanz 
(km einfach)]]*Anreise_Besuchende[[#This Row],[Scope 2 Emissionsfaktor '[kg CO2e/Einheit']]]*2,"")</f>
        <v/>
      </c>
      <c r="R23" s="15" t="str">
        <f>IFERROR(Anreise_Besuchende[[#This Row],[Besucheranzahl]]*Anreise_Besuchende[[#This Row],[Durchschnittliche Distanz 
(km einfach)]]*Anreise_Besuchende[[#This Row],[Scope 3 Emissionsfaktor '[kg CO2e/Einheit']]]*2,"")</f>
        <v/>
      </c>
    </row>
    <row r="24" spans="2:18" s="95" customFormat="1" x14ac:dyDescent="0.35">
      <c r="B24" s="418"/>
      <c r="C24" t="str">
        <f t="shared" si="0"/>
        <v>Anreise_Besuchende</v>
      </c>
      <c r="D24" s="96"/>
      <c r="E24" s="96"/>
      <c r="F24" s="313"/>
      <c r="G24" s="312"/>
      <c r="H24" s="96"/>
      <c r="I24" s="96"/>
      <c r="J24" s="96"/>
      <c r="K24" s="314" t="str">
        <f>IF(ISBLANK(Anreise_Besuchende[[#This Row],[Besucheranzahl]]),"", SUM(Anreise_Besuchende[[#This Row],[Scope 1 Ergebnis location-based '[kg CO2e']]:[Scope 3 Ergebnis location-based '[kg CO2e']]]))</f>
        <v/>
      </c>
      <c r="L24" s="15" t="str">
        <f>IF(ISBLANK(Anreise_Besuchende[[#This Row],[Verkehrsmittel (Dropdown)]]),"",CONCATENATE(Anreise_Besuchende[[#This Row],[Sektor_Thema]]," - ",Anreise_Besuchende[[#This Row],[Verkehrsmittel (Dropdown)]]))</f>
        <v/>
      </c>
      <c r="M24" s="15" t="str">
        <f>IFERROR(VLOOKUP(Anreise_Besuchende[[#This Row],[Thema_Bezeichung]],EFs_Besuchende[],5,FALSE),"")</f>
        <v/>
      </c>
      <c r="N24" s="15" t="str">
        <f>IFERROR(VLOOKUP(Anreise_Besuchende[[#This Row],[Thema_Bezeichung]],EFs_Besuchende[],6,FALSE),"")</f>
        <v/>
      </c>
      <c r="O24" s="15" t="str">
        <f>IFERROR(VLOOKUP(Anreise_Besuchende[[#This Row],[Thema_Bezeichung]],EFs_Besuchende[],7,FALSE),"")</f>
        <v/>
      </c>
      <c r="P24" s="15" t="str">
        <f>IFERROR(Anreise_Besuchende[[#This Row],[Besucheranzahl]]*Anreise_Besuchende[[#This Row],[Durchschnittliche Distanz 
(km einfach)]]*Anreise_Besuchende[[#This Row],[Scope 1 Emissionsfaktor '[kg CO2e/Einheit']]]*2,"")</f>
        <v/>
      </c>
      <c r="Q24" s="15" t="str">
        <f>IFERROR(Anreise_Besuchende[[#This Row],[Besucheranzahl]]*Anreise_Besuchende[[#This Row],[Durchschnittliche Distanz 
(km einfach)]]*Anreise_Besuchende[[#This Row],[Scope 2 Emissionsfaktor '[kg CO2e/Einheit']]]*2,"")</f>
        <v/>
      </c>
      <c r="R24" s="15" t="str">
        <f>IFERROR(Anreise_Besuchende[[#This Row],[Besucheranzahl]]*Anreise_Besuchende[[#This Row],[Durchschnittliche Distanz 
(km einfach)]]*Anreise_Besuchende[[#This Row],[Scope 3 Emissionsfaktor '[kg CO2e/Einheit']]]*2,"")</f>
        <v/>
      </c>
    </row>
    <row r="25" spans="2:18" s="95" customFormat="1" x14ac:dyDescent="0.35">
      <c r="B25" s="418"/>
      <c r="C25" t="str">
        <f t="shared" si="0"/>
        <v>Anreise_Besuchende</v>
      </c>
      <c r="D25" s="96"/>
      <c r="E25" s="96"/>
      <c r="F25" s="313"/>
      <c r="G25" s="312"/>
      <c r="H25" s="96"/>
      <c r="I25" s="96"/>
      <c r="J25" s="96"/>
      <c r="K25" s="314" t="str">
        <f>IF(ISBLANK(Anreise_Besuchende[[#This Row],[Besucheranzahl]]),"", SUM(Anreise_Besuchende[[#This Row],[Scope 1 Ergebnis location-based '[kg CO2e']]:[Scope 3 Ergebnis location-based '[kg CO2e']]]))</f>
        <v/>
      </c>
      <c r="L25" s="15" t="str">
        <f>IF(ISBLANK(Anreise_Besuchende[[#This Row],[Verkehrsmittel (Dropdown)]]),"",CONCATENATE(Anreise_Besuchende[[#This Row],[Sektor_Thema]]," - ",Anreise_Besuchende[[#This Row],[Verkehrsmittel (Dropdown)]]))</f>
        <v/>
      </c>
      <c r="M25" s="15" t="str">
        <f>IFERROR(VLOOKUP(Anreise_Besuchende[[#This Row],[Thema_Bezeichung]],EFs_Besuchende[],5,FALSE),"")</f>
        <v/>
      </c>
      <c r="N25" s="15" t="str">
        <f>IFERROR(VLOOKUP(Anreise_Besuchende[[#This Row],[Thema_Bezeichung]],EFs_Besuchende[],6,FALSE),"")</f>
        <v/>
      </c>
      <c r="O25" s="15" t="str">
        <f>IFERROR(VLOOKUP(Anreise_Besuchende[[#This Row],[Thema_Bezeichung]],EFs_Besuchende[],7,FALSE),"")</f>
        <v/>
      </c>
      <c r="P25" s="15" t="str">
        <f>IFERROR(Anreise_Besuchende[[#This Row],[Besucheranzahl]]*Anreise_Besuchende[[#This Row],[Durchschnittliche Distanz 
(km einfach)]]*Anreise_Besuchende[[#This Row],[Scope 1 Emissionsfaktor '[kg CO2e/Einheit']]]*2,"")</f>
        <v/>
      </c>
      <c r="Q25" s="15" t="str">
        <f>IFERROR(Anreise_Besuchende[[#This Row],[Besucheranzahl]]*Anreise_Besuchende[[#This Row],[Durchschnittliche Distanz 
(km einfach)]]*Anreise_Besuchende[[#This Row],[Scope 2 Emissionsfaktor '[kg CO2e/Einheit']]]*2,"")</f>
        <v/>
      </c>
      <c r="R25" s="15" t="str">
        <f>IFERROR(Anreise_Besuchende[[#This Row],[Besucheranzahl]]*Anreise_Besuchende[[#This Row],[Durchschnittliche Distanz 
(km einfach)]]*Anreise_Besuchende[[#This Row],[Scope 3 Emissionsfaktor '[kg CO2e/Einheit']]]*2,"")</f>
        <v/>
      </c>
    </row>
    <row r="26" spans="2:18" s="95" customFormat="1" x14ac:dyDescent="0.35">
      <c r="B26" s="418"/>
      <c r="C26" t="str">
        <f t="shared" si="0"/>
        <v>Anreise_Besuchende</v>
      </c>
      <c r="D26" s="96"/>
      <c r="E26" s="96"/>
      <c r="F26" s="313"/>
      <c r="G26" s="312"/>
      <c r="H26" s="96"/>
      <c r="I26" s="96"/>
      <c r="J26" s="96"/>
      <c r="K26" s="314" t="str">
        <f>IF(ISBLANK(Anreise_Besuchende[[#This Row],[Besucheranzahl]]),"", SUM(Anreise_Besuchende[[#This Row],[Scope 1 Ergebnis location-based '[kg CO2e']]:[Scope 3 Ergebnis location-based '[kg CO2e']]]))</f>
        <v/>
      </c>
      <c r="L26" s="15" t="str">
        <f>IF(ISBLANK(Anreise_Besuchende[[#This Row],[Verkehrsmittel (Dropdown)]]),"",CONCATENATE(Anreise_Besuchende[[#This Row],[Sektor_Thema]]," - ",Anreise_Besuchende[[#This Row],[Verkehrsmittel (Dropdown)]]))</f>
        <v/>
      </c>
      <c r="M26" s="15" t="str">
        <f>IFERROR(VLOOKUP(Anreise_Besuchende[[#This Row],[Thema_Bezeichung]],EFs_Besuchende[],5,FALSE),"")</f>
        <v/>
      </c>
      <c r="N26" s="15" t="str">
        <f>IFERROR(VLOOKUP(Anreise_Besuchende[[#This Row],[Thema_Bezeichung]],EFs_Besuchende[],6,FALSE),"")</f>
        <v/>
      </c>
      <c r="O26" s="15" t="str">
        <f>IFERROR(VLOOKUP(Anreise_Besuchende[[#This Row],[Thema_Bezeichung]],EFs_Besuchende[],7,FALSE),"")</f>
        <v/>
      </c>
      <c r="P26" s="15" t="str">
        <f>IFERROR(Anreise_Besuchende[[#This Row],[Besucheranzahl]]*Anreise_Besuchende[[#This Row],[Durchschnittliche Distanz 
(km einfach)]]*Anreise_Besuchende[[#This Row],[Scope 1 Emissionsfaktor '[kg CO2e/Einheit']]]*2,"")</f>
        <v/>
      </c>
      <c r="Q26" s="15" t="str">
        <f>IFERROR(Anreise_Besuchende[[#This Row],[Besucheranzahl]]*Anreise_Besuchende[[#This Row],[Durchschnittliche Distanz 
(km einfach)]]*Anreise_Besuchende[[#This Row],[Scope 2 Emissionsfaktor '[kg CO2e/Einheit']]]*2,"")</f>
        <v/>
      </c>
      <c r="R26" s="15" t="str">
        <f>IFERROR(Anreise_Besuchende[[#This Row],[Besucheranzahl]]*Anreise_Besuchende[[#This Row],[Durchschnittliche Distanz 
(km einfach)]]*Anreise_Besuchende[[#This Row],[Scope 3 Emissionsfaktor '[kg CO2e/Einheit']]]*2,"")</f>
        <v/>
      </c>
    </row>
    <row r="27" spans="2:18" s="95" customFormat="1" x14ac:dyDescent="0.35">
      <c r="B27" s="418"/>
      <c r="C27" t="str">
        <f t="shared" si="0"/>
        <v>Anreise_Besuchende</v>
      </c>
      <c r="D27" s="96"/>
      <c r="E27" s="96"/>
      <c r="F27" s="313"/>
      <c r="G27" s="312"/>
      <c r="H27" s="96"/>
      <c r="I27" s="96"/>
      <c r="J27" s="96"/>
      <c r="K27" s="314" t="str">
        <f>IF(ISBLANK(Anreise_Besuchende[[#This Row],[Besucheranzahl]]),"", SUM(Anreise_Besuchende[[#This Row],[Scope 1 Ergebnis location-based '[kg CO2e']]:[Scope 3 Ergebnis location-based '[kg CO2e']]]))</f>
        <v/>
      </c>
      <c r="L27" s="15" t="str">
        <f>IF(ISBLANK(Anreise_Besuchende[[#This Row],[Verkehrsmittel (Dropdown)]]),"",CONCATENATE(Anreise_Besuchende[[#This Row],[Sektor_Thema]]," - ",Anreise_Besuchende[[#This Row],[Verkehrsmittel (Dropdown)]]))</f>
        <v/>
      </c>
      <c r="M27" s="15" t="str">
        <f>IFERROR(VLOOKUP(Anreise_Besuchende[[#This Row],[Thema_Bezeichung]],EFs_Besuchende[],5,FALSE),"")</f>
        <v/>
      </c>
      <c r="N27" s="15" t="str">
        <f>IFERROR(VLOOKUP(Anreise_Besuchende[[#This Row],[Thema_Bezeichung]],EFs_Besuchende[],6,FALSE),"")</f>
        <v/>
      </c>
      <c r="O27" s="15" t="str">
        <f>IFERROR(VLOOKUP(Anreise_Besuchende[[#This Row],[Thema_Bezeichung]],EFs_Besuchende[],7,FALSE),"")</f>
        <v/>
      </c>
      <c r="P27" s="15" t="str">
        <f>IFERROR(Anreise_Besuchende[[#This Row],[Besucheranzahl]]*Anreise_Besuchende[[#This Row],[Durchschnittliche Distanz 
(km einfach)]]*Anreise_Besuchende[[#This Row],[Scope 1 Emissionsfaktor '[kg CO2e/Einheit']]]*2,"")</f>
        <v/>
      </c>
      <c r="Q27" s="15" t="str">
        <f>IFERROR(Anreise_Besuchende[[#This Row],[Besucheranzahl]]*Anreise_Besuchende[[#This Row],[Durchschnittliche Distanz 
(km einfach)]]*Anreise_Besuchende[[#This Row],[Scope 2 Emissionsfaktor '[kg CO2e/Einheit']]]*2,"")</f>
        <v/>
      </c>
      <c r="R27" s="15" t="str">
        <f>IFERROR(Anreise_Besuchende[[#This Row],[Besucheranzahl]]*Anreise_Besuchende[[#This Row],[Durchschnittliche Distanz 
(km einfach)]]*Anreise_Besuchende[[#This Row],[Scope 3 Emissionsfaktor '[kg CO2e/Einheit']]]*2,"")</f>
        <v/>
      </c>
    </row>
    <row r="28" spans="2:18" s="95" customFormat="1" x14ac:dyDescent="0.35">
      <c r="B28" s="418"/>
      <c r="C28" t="str">
        <f t="shared" si="0"/>
        <v>Anreise_Besuchende</v>
      </c>
      <c r="D28" s="96"/>
      <c r="E28" s="96"/>
      <c r="F28" s="313"/>
      <c r="G28" s="312"/>
      <c r="H28" s="96"/>
      <c r="I28" s="96"/>
      <c r="J28" s="96"/>
      <c r="K28" s="314" t="str">
        <f>IF(ISBLANK(Anreise_Besuchende[[#This Row],[Besucheranzahl]]),"", SUM(Anreise_Besuchende[[#This Row],[Scope 1 Ergebnis location-based '[kg CO2e']]:[Scope 3 Ergebnis location-based '[kg CO2e']]]))</f>
        <v/>
      </c>
      <c r="L28" s="15" t="str">
        <f>IF(ISBLANK(Anreise_Besuchende[[#This Row],[Verkehrsmittel (Dropdown)]]),"",CONCATENATE(Anreise_Besuchende[[#This Row],[Sektor_Thema]]," - ",Anreise_Besuchende[[#This Row],[Verkehrsmittel (Dropdown)]]))</f>
        <v/>
      </c>
      <c r="M28" s="15" t="str">
        <f>IFERROR(VLOOKUP(Anreise_Besuchende[[#This Row],[Thema_Bezeichung]],EFs_Besuchende[],5,FALSE),"")</f>
        <v/>
      </c>
      <c r="N28" s="15" t="str">
        <f>IFERROR(VLOOKUP(Anreise_Besuchende[[#This Row],[Thema_Bezeichung]],EFs_Besuchende[],6,FALSE),"")</f>
        <v/>
      </c>
      <c r="O28" s="15" t="str">
        <f>IFERROR(VLOOKUP(Anreise_Besuchende[[#This Row],[Thema_Bezeichung]],EFs_Besuchende[],7,FALSE),"")</f>
        <v/>
      </c>
      <c r="P28" s="15" t="str">
        <f>IFERROR(Anreise_Besuchende[[#This Row],[Besucheranzahl]]*Anreise_Besuchende[[#This Row],[Durchschnittliche Distanz 
(km einfach)]]*Anreise_Besuchende[[#This Row],[Scope 1 Emissionsfaktor '[kg CO2e/Einheit']]]*2,"")</f>
        <v/>
      </c>
      <c r="Q28" s="15" t="str">
        <f>IFERROR(Anreise_Besuchende[[#This Row],[Besucheranzahl]]*Anreise_Besuchende[[#This Row],[Durchschnittliche Distanz 
(km einfach)]]*Anreise_Besuchende[[#This Row],[Scope 2 Emissionsfaktor '[kg CO2e/Einheit']]]*2,"")</f>
        <v/>
      </c>
      <c r="R28" s="15" t="str">
        <f>IFERROR(Anreise_Besuchende[[#This Row],[Besucheranzahl]]*Anreise_Besuchende[[#This Row],[Durchschnittliche Distanz 
(km einfach)]]*Anreise_Besuchende[[#This Row],[Scope 3 Emissionsfaktor '[kg CO2e/Einheit']]]*2,"")</f>
        <v/>
      </c>
    </row>
    <row r="29" spans="2:18" s="95" customFormat="1" x14ac:dyDescent="0.35">
      <c r="B29" s="418"/>
      <c r="C29" t="str">
        <f t="shared" si="0"/>
        <v>Anreise_Besuchende</v>
      </c>
      <c r="D29" s="96"/>
      <c r="E29" s="96"/>
      <c r="F29" s="313"/>
      <c r="G29" s="312"/>
      <c r="H29" s="96"/>
      <c r="I29" s="96"/>
      <c r="J29" s="96"/>
      <c r="K29" s="314" t="str">
        <f>IF(ISBLANK(Anreise_Besuchende[[#This Row],[Besucheranzahl]]),"", SUM(Anreise_Besuchende[[#This Row],[Scope 1 Ergebnis location-based '[kg CO2e']]:[Scope 3 Ergebnis location-based '[kg CO2e']]]))</f>
        <v/>
      </c>
      <c r="L29" s="15" t="str">
        <f>IF(ISBLANK(Anreise_Besuchende[[#This Row],[Verkehrsmittel (Dropdown)]]),"",CONCATENATE(Anreise_Besuchende[[#This Row],[Sektor_Thema]]," - ",Anreise_Besuchende[[#This Row],[Verkehrsmittel (Dropdown)]]))</f>
        <v/>
      </c>
      <c r="M29" s="15" t="str">
        <f>IFERROR(VLOOKUP(Anreise_Besuchende[[#This Row],[Thema_Bezeichung]],EFs_Besuchende[],5,FALSE),"")</f>
        <v/>
      </c>
      <c r="N29" s="15" t="str">
        <f>IFERROR(VLOOKUP(Anreise_Besuchende[[#This Row],[Thema_Bezeichung]],EFs_Besuchende[],6,FALSE),"")</f>
        <v/>
      </c>
      <c r="O29" s="15" t="str">
        <f>IFERROR(VLOOKUP(Anreise_Besuchende[[#This Row],[Thema_Bezeichung]],EFs_Besuchende[],7,FALSE),"")</f>
        <v/>
      </c>
      <c r="P29" s="15" t="str">
        <f>IFERROR(Anreise_Besuchende[[#This Row],[Besucheranzahl]]*Anreise_Besuchende[[#This Row],[Durchschnittliche Distanz 
(km einfach)]]*Anreise_Besuchende[[#This Row],[Scope 1 Emissionsfaktor '[kg CO2e/Einheit']]]*2,"")</f>
        <v/>
      </c>
      <c r="Q29" s="15" t="str">
        <f>IFERROR(Anreise_Besuchende[[#This Row],[Besucheranzahl]]*Anreise_Besuchende[[#This Row],[Durchschnittliche Distanz 
(km einfach)]]*Anreise_Besuchende[[#This Row],[Scope 2 Emissionsfaktor '[kg CO2e/Einheit']]]*2,"")</f>
        <v/>
      </c>
      <c r="R29" s="15" t="str">
        <f>IFERROR(Anreise_Besuchende[[#This Row],[Besucheranzahl]]*Anreise_Besuchende[[#This Row],[Durchschnittliche Distanz 
(km einfach)]]*Anreise_Besuchende[[#This Row],[Scope 3 Emissionsfaktor '[kg CO2e/Einheit']]]*2,"")</f>
        <v/>
      </c>
    </row>
    <row r="30" spans="2:18" s="95" customFormat="1" x14ac:dyDescent="0.35">
      <c r="B30" s="418"/>
      <c r="C30" t="str">
        <f t="shared" si="0"/>
        <v>Anreise_Besuchende</v>
      </c>
      <c r="D30" s="96"/>
      <c r="E30" s="96"/>
      <c r="F30" s="313"/>
      <c r="G30" s="312"/>
      <c r="H30" s="96"/>
      <c r="I30" s="96"/>
      <c r="J30" s="96"/>
      <c r="K30" s="314" t="str">
        <f>IF(ISBLANK(Anreise_Besuchende[[#This Row],[Besucheranzahl]]),"", SUM(Anreise_Besuchende[[#This Row],[Scope 1 Ergebnis location-based '[kg CO2e']]:[Scope 3 Ergebnis location-based '[kg CO2e']]]))</f>
        <v/>
      </c>
      <c r="L30" s="15" t="str">
        <f>IF(ISBLANK(Anreise_Besuchende[[#This Row],[Verkehrsmittel (Dropdown)]]),"",CONCATENATE(Anreise_Besuchende[[#This Row],[Sektor_Thema]]," - ",Anreise_Besuchende[[#This Row],[Verkehrsmittel (Dropdown)]]))</f>
        <v/>
      </c>
      <c r="M30" s="15" t="str">
        <f>IFERROR(VLOOKUP(Anreise_Besuchende[[#This Row],[Thema_Bezeichung]],EFs_Besuchende[],5,FALSE),"")</f>
        <v/>
      </c>
      <c r="N30" s="15" t="str">
        <f>IFERROR(VLOOKUP(Anreise_Besuchende[[#This Row],[Thema_Bezeichung]],EFs_Besuchende[],6,FALSE),"")</f>
        <v/>
      </c>
      <c r="O30" s="15" t="str">
        <f>IFERROR(VLOOKUP(Anreise_Besuchende[[#This Row],[Thema_Bezeichung]],EFs_Besuchende[],7,FALSE),"")</f>
        <v/>
      </c>
      <c r="P30" s="15" t="str">
        <f>IFERROR(Anreise_Besuchende[[#This Row],[Besucheranzahl]]*Anreise_Besuchende[[#This Row],[Durchschnittliche Distanz 
(km einfach)]]*Anreise_Besuchende[[#This Row],[Scope 1 Emissionsfaktor '[kg CO2e/Einheit']]]*2,"")</f>
        <v/>
      </c>
      <c r="Q30" s="15" t="str">
        <f>IFERROR(Anreise_Besuchende[[#This Row],[Besucheranzahl]]*Anreise_Besuchende[[#This Row],[Durchschnittliche Distanz 
(km einfach)]]*Anreise_Besuchende[[#This Row],[Scope 2 Emissionsfaktor '[kg CO2e/Einheit']]]*2,"")</f>
        <v/>
      </c>
      <c r="R30" s="15" t="str">
        <f>IFERROR(Anreise_Besuchende[[#This Row],[Besucheranzahl]]*Anreise_Besuchende[[#This Row],[Durchschnittliche Distanz 
(km einfach)]]*Anreise_Besuchende[[#This Row],[Scope 3 Emissionsfaktor '[kg CO2e/Einheit']]]*2,"")</f>
        <v/>
      </c>
    </row>
    <row r="31" spans="2:18" s="95" customFormat="1" x14ac:dyDescent="0.35">
      <c r="B31" s="418"/>
      <c r="C31" t="str">
        <f t="shared" si="0"/>
        <v>Anreise_Besuchende</v>
      </c>
      <c r="D31" s="96"/>
      <c r="E31" s="96"/>
      <c r="F31" s="313"/>
      <c r="G31" s="312"/>
      <c r="H31" s="96"/>
      <c r="I31" s="96"/>
      <c r="J31" s="96"/>
      <c r="K31" s="314" t="str">
        <f>IF(ISBLANK(Anreise_Besuchende[[#This Row],[Besucheranzahl]]),"", SUM(Anreise_Besuchende[[#This Row],[Scope 1 Ergebnis location-based '[kg CO2e']]:[Scope 3 Ergebnis location-based '[kg CO2e']]]))</f>
        <v/>
      </c>
      <c r="L31" s="15" t="str">
        <f>IF(ISBLANK(Anreise_Besuchende[[#This Row],[Verkehrsmittel (Dropdown)]]),"",CONCATENATE(Anreise_Besuchende[[#This Row],[Sektor_Thema]]," - ",Anreise_Besuchende[[#This Row],[Verkehrsmittel (Dropdown)]]))</f>
        <v/>
      </c>
      <c r="M31" s="15" t="str">
        <f>IFERROR(VLOOKUP(Anreise_Besuchende[[#This Row],[Thema_Bezeichung]],EFs_Besuchende[],5,FALSE),"")</f>
        <v/>
      </c>
      <c r="N31" s="15" t="str">
        <f>IFERROR(VLOOKUP(Anreise_Besuchende[[#This Row],[Thema_Bezeichung]],EFs_Besuchende[],6,FALSE),"")</f>
        <v/>
      </c>
      <c r="O31" s="15" t="str">
        <f>IFERROR(VLOOKUP(Anreise_Besuchende[[#This Row],[Thema_Bezeichung]],EFs_Besuchende[],7,FALSE),"")</f>
        <v/>
      </c>
      <c r="P31" s="15" t="str">
        <f>IFERROR(Anreise_Besuchende[[#This Row],[Besucheranzahl]]*Anreise_Besuchende[[#This Row],[Durchschnittliche Distanz 
(km einfach)]]*Anreise_Besuchende[[#This Row],[Scope 1 Emissionsfaktor '[kg CO2e/Einheit']]]*2,"")</f>
        <v/>
      </c>
      <c r="Q31" s="15" t="str">
        <f>IFERROR(Anreise_Besuchende[[#This Row],[Besucheranzahl]]*Anreise_Besuchende[[#This Row],[Durchschnittliche Distanz 
(km einfach)]]*Anreise_Besuchende[[#This Row],[Scope 2 Emissionsfaktor '[kg CO2e/Einheit']]]*2,"")</f>
        <v/>
      </c>
      <c r="R31" s="15" t="str">
        <f>IFERROR(Anreise_Besuchende[[#This Row],[Besucheranzahl]]*Anreise_Besuchende[[#This Row],[Durchschnittliche Distanz 
(km einfach)]]*Anreise_Besuchende[[#This Row],[Scope 3 Emissionsfaktor '[kg CO2e/Einheit']]]*2,"")</f>
        <v/>
      </c>
    </row>
    <row r="32" spans="2:18" s="95" customFormat="1" x14ac:dyDescent="0.35">
      <c r="B32" s="418"/>
      <c r="C32" t="str">
        <f t="shared" si="0"/>
        <v>Anreise_Besuchende</v>
      </c>
      <c r="D32" s="96"/>
      <c r="E32" s="96"/>
      <c r="F32" s="313"/>
      <c r="G32" s="312"/>
      <c r="H32" s="96"/>
      <c r="I32" s="96"/>
      <c r="J32" s="96"/>
      <c r="K32" s="314" t="str">
        <f>IF(ISBLANK(Anreise_Besuchende[[#This Row],[Besucheranzahl]]),"", SUM(Anreise_Besuchende[[#This Row],[Scope 1 Ergebnis location-based '[kg CO2e']]:[Scope 3 Ergebnis location-based '[kg CO2e']]]))</f>
        <v/>
      </c>
      <c r="L32" s="15" t="str">
        <f>IF(ISBLANK(Anreise_Besuchende[[#This Row],[Verkehrsmittel (Dropdown)]]),"",CONCATENATE(Anreise_Besuchende[[#This Row],[Sektor_Thema]]," - ",Anreise_Besuchende[[#This Row],[Verkehrsmittel (Dropdown)]]))</f>
        <v/>
      </c>
      <c r="M32" s="15" t="str">
        <f>IFERROR(VLOOKUP(Anreise_Besuchende[[#This Row],[Thema_Bezeichung]],EFs_Besuchende[],5,FALSE),"")</f>
        <v/>
      </c>
      <c r="N32" s="15" t="str">
        <f>IFERROR(VLOOKUP(Anreise_Besuchende[[#This Row],[Thema_Bezeichung]],EFs_Besuchende[],6,FALSE),"")</f>
        <v/>
      </c>
      <c r="O32" s="15" t="str">
        <f>IFERROR(VLOOKUP(Anreise_Besuchende[[#This Row],[Thema_Bezeichung]],EFs_Besuchende[],7,FALSE),"")</f>
        <v/>
      </c>
      <c r="P32" s="15" t="str">
        <f>IFERROR(Anreise_Besuchende[[#This Row],[Besucheranzahl]]*Anreise_Besuchende[[#This Row],[Durchschnittliche Distanz 
(km einfach)]]*Anreise_Besuchende[[#This Row],[Scope 1 Emissionsfaktor '[kg CO2e/Einheit']]]*2,"")</f>
        <v/>
      </c>
      <c r="Q32" s="15" t="str">
        <f>IFERROR(Anreise_Besuchende[[#This Row],[Besucheranzahl]]*Anreise_Besuchende[[#This Row],[Durchschnittliche Distanz 
(km einfach)]]*Anreise_Besuchende[[#This Row],[Scope 2 Emissionsfaktor '[kg CO2e/Einheit']]]*2,"")</f>
        <v/>
      </c>
      <c r="R32" s="15" t="str">
        <f>IFERROR(Anreise_Besuchende[[#This Row],[Besucheranzahl]]*Anreise_Besuchende[[#This Row],[Durchschnittliche Distanz 
(km einfach)]]*Anreise_Besuchende[[#This Row],[Scope 3 Emissionsfaktor '[kg CO2e/Einheit']]]*2,"")</f>
        <v/>
      </c>
    </row>
    <row r="33" spans="2:18" s="95" customFormat="1" x14ac:dyDescent="0.35">
      <c r="B33" s="418"/>
      <c r="C33" t="str">
        <f t="shared" si="0"/>
        <v>Anreise_Besuchende</v>
      </c>
      <c r="D33" s="96"/>
      <c r="E33" s="96"/>
      <c r="F33" s="313"/>
      <c r="G33" s="312"/>
      <c r="H33" s="96"/>
      <c r="I33" s="96"/>
      <c r="J33" s="96"/>
      <c r="K33" s="314" t="str">
        <f>IF(ISBLANK(Anreise_Besuchende[[#This Row],[Besucheranzahl]]),"", SUM(Anreise_Besuchende[[#This Row],[Scope 1 Ergebnis location-based '[kg CO2e']]:[Scope 3 Ergebnis location-based '[kg CO2e']]]))</f>
        <v/>
      </c>
      <c r="L33" s="15" t="str">
        <f>IF(ISBLANK(Anreise_Besuchende[[#This Row],[Verkehrsmittel (Dropdown)]]),"",CONCATENATE(Anreise_Besuchende[[#This Row],[Sektor_Thema]]," - ",Anreise_Besuchende[[#This Row],[Verkehrsmittel (Dropdown)]]))</f>
        <v/>
      </c>
      <c r="M33" s="15" t="str">
        <f>IFERROR(VLOOKUP(Anreise_Besuchende[[#This Row],[Thema_Bezeichung]],EFs_Besuchende[],5,FALSE),"")</f>
        <v/>
      </c>
      <c r="N33" s="15" t="str">
        <f>IFERROR(VLOOKUP(Anreise_Besuchende[[#This Row],[Thema_Bezeichung]],EFs_Besuchende[],6,FALSE),"")</f>
        <v/>
      </c>
      <c r="O33" s="15" t="str">
        <f>IFERROR(VLOOKUP(Anreise_Besuchende[[#This Row],[Thema_Bezeichung]],EFs_Besuchende[],7,FALSE),"")</f>
        <v/>
      </c>
      <c r="P33" s="15" t="str">
        <f>IFERROR(Anreise_Besuchende[[#This Row],[Besucheranzahl]]*Anreise_Besuchende[[#This Row],[Durchschnittliche Distanz 
(km einfach)]]*Anreise_Besuchende[[#This Row],[Scope 1 Emissionsfaktor '[kg CO2e/Einheit']]]*2,"")</f>
        <v/>
      </c>
      <c r="Q33" s="15" t="str">
        <f>IFERROR(Anreise_Besuchende[[#This Row],[Besucheranzahl]]*Anreise_Besuchende[[#This Row],[Durchschnittliche Distanz 
(km einfach)]]*Anreise_Besuchende[[#This Row],[Scope 2 Emissionsfaktor '[kg CO2e/Einheit']]]*2,"")</f>
        <v/>
      </c>
      <c r="R33" s="15" t="str">
        <f>IFERROR(Anreise_Besuchende[[#This Row],[Besucheranzahl]]*Anreise_Besuchende[[#This Row],[Durchschnittliche Distanz 
(km einfach)]]*Anreise_Besuchende[[#This Row],[Scope 3 Emissionsfaktor '[kg CO2e/Einheit']]]*2,"")</f>
        <v/>
      </c>
    </row>
    <row r="34" spans="2:18" s="95" customFormat="1" x14ac:dyDescent="0.35">
      <c r="B34" s="418"/>
      <c r="C34" t="str">
        <f t="shared" si="0"/>
        <v>Anreise_Besuchende</v>
      </c>
      <c r="D34" s="96"/>
      <c r="E34" s="96"/>
      <c r="F34" s="313"/>
      <c r="G34" s="312"/>
      <c r="H34" s="96"/>
      <c r="I34" s="96"/>
      <c r="J34" s="96"/>
      <c r="K34" s="314" t="str">
        <f>IF(ISBLANK(Anreise_Besuchende[[#This Row],[Besucheranzahl]]),"", SUM(Anreise_Besuchende[[#This Row],[Scope 1 Ergebnis location-based '[kg CO2e']]:[Scope 3 Ergebnis location-based '[kg CO2e']]]))</f>
        <v/>
      </c>
      <c r="L34" s="15" t="str">
        <f>IF(ISBLANK(Anreise_Besuchende[[#This Row],[Verkehrsmittel (Dropdown)]]),"",CONCATENATE(Anreise_Besuchende[[#This Row],[Sektor_Thema]]," - ",Anreise_Besuchende[[#This Row],[Verkehrsmittel (Dropdown)]]))</f>
        <v/>
      </c>
      <c r="M34" s="15" t="str">
        <f>IFERROR(VLOOKUP(Anreise_Besuchende[[#This Row],[Thema_Bezeichung]],EFs_Besuchende[],5,FALSE),"")</f>
        <v/>
      </c>
      <c r="N34" s="15" t="str">
        <f>IFERROR(VLOOKUP(Anreise_Besuchende[[#This Row],[Thema_Bezeichung]],EFs_Besuchende[],6,FALSE),"")</f>
        <v/>
      </c>
      <c r="O34" s="15" t="str">
        <f>IFERROR(VLOOKUP(Anreise_Besuchende[[#This Row],[Thema_Bezeichung]],EFs_Besuchende[],7,FALSE),"")</f>
        <v/>
      </c>
      <c r="P34" s="15" t="str">
        <f>IFERROR(Anreise_Besuchende[[#This Row],[Besucheranzahl]]*Anreise_Besuchende[[#This Row],[Durchschnittliche Distanz 
(km einfach)]]*Anreise_Besuchende[[#This Row],[Scope 1 Emissionsfaktor '[kg CO2e/Einheit']]]*2,"")</f>
        <v/>
      </c>
      <c r="Q34" s="15" t="str">
        <f>IFERROR(Anreise_Besuchende[[#This Row],[Besucheranzahl]]*Anreise_Besuchende[[#This Row],[Durchschnittliche Distanz 
(km einfach)]]*Anreise_Besuchende[[#This Row],[Scope 2 Emissionsfaktor '[kg CO2e/Einheit']]]*2,"")</f>
        <v/>
      </c>
      <c r="R34" s="15" t="str">
        <f>IFERROR(Anreise_Besuchende[[#This Row],[Besucheranzahl]]*Anreise_Besuchende[[#This Row],[Durchschnittliche Distanz 
(km einfach)]]*Anreise_Besuchende[[#This Row],[Scope 3 Emissionsfaktor '[kg CO2e/Einheit']]]*2,"")</f>
        <v/>
      </c>
    </row>
    <row r="35" spans="2:18" s="95" customFormat="1" x14ac:dyDescent="0.35">
      <c r="B35" s="418"/>
      <c r="C35" t="str">
        <f t="shared" si="0"/>
        <v>Anreise_Besuchende</v>
      </c>
      <c r="D35" s="96"/>
      <c r="E35" s="96"/>
      <c r="F35" s="313"/>
      <c r="G35" s="312"/>
      <c r="H35" s="96"/>
      <c r="I35" s="96"/>
      <c r="J35" s="96"/>
      <c r="K35" s="314" t="str">
        <f>IF(ISBLANK(Anreise_Besuchende[[#This Row],[Besucheranzahl]]),"", SUM(Anreise_Besuchende[[#This Row],[Scope 1 Ergebnis location-based '[kg CO2e']]:[Scope 3 Ergebnis location-based '[kg CO2e']]]))</f>
        <v/>
      </c>
      <c r="L35" s="15" t="str">
        <f>IF(ISBLANK(Anreise_Besuchende[[#This Row],[Verkehrsmittel (Dropdown)]]),"",CONCATENATE(Anreise_Besuchende[[#This Row],[Sektor_Thema]]," - ",Anreise_Besuchende[[#This Row],[Verkehrsmittel (Dropdown)]]))</f>
        <v/>
      </c>
      <c r="M35" s="15" t="str">
        <f>IFERROR(VLOOKUP(Anreise_Besuchende[[#This Row],[Thema_Bezeichung]],EFs_Besuchende[],5,FALSE),"")</f>
        <v/>
      </c>
      <c r="N35" s="15" t="str">
        <f>IFERROR(VLOOKUP(Anreise_Besuchende[[#This Row],[Thema_Bezeichung]],EFs_Besuchende[],6,FALSE),"")</f>
        <v/>
      </c>
      <c r="O35" s="15" t="str">
        <f>IFERROR(VLOOKUP(Anreise_Besuchende[[#This Row],[Thema_Bezeichung]],EFs_Besuchende[],7,FALSE),"")</f>
        <v/>
      </c>
      <c r="P35" s="15" t="str">
        <f>IFERROR(Anreise_Besuchende[[#This Row],[Besucheranzahl]]*Anreise_Besuchende[[#This Row],[Durchschnittliche Distanz 
(km einfach)]]*Anreise_Besuchende[[#This Row],[Scope 1 Emissionsfaktor '[kg CO2e/Einheit']]]*2,"")</f>
        <v/>
      </c>
      <c r="Q35" s="15" t="str">
        <f>IFERROR(Anreise_Besuchende[[#This Row],[Besucheranzahl]]*Anreise_Besuchende[[#This Row],[Durchschnittliche Distanz 
(km einfach)]]*Anreise_Besuchende[[#This Row],[Scope 2 Emissionsfaktor '[kg CO2e/Einheit']]]*2,"")</f>
        <v/>
      </c>
      <c r="R35" s="15" t="str">
        <f>IFERROR(Anreise_Besuchende[[#This Row],[Besucheranzahl]]*Anreise_Besuchende[[#This Row],[Durchschnittliche Distanz 
(km einfach)]]*Anreise_Besuchende[[#This Row],[Scope 3 Emissionsfaktor '[kg CO2e/Einheit']]]*2,"")</f>
        <v/>
      </c>
    </row>
    <row r="36" spans="2:18" s="95" customFormat="1" x14ac:dyDescent="0.35">
      <c r="B36" s="418"/>
      <c r="C36" t="str">
        <f t="shared" si="0"/>
        <v>Anreise_Besuchende</v>
      </c>
      <c r="D36" s="96"/>
      <c r="E36" s="96"/>
      <c r="F36" s="313"/>
      <c r="G36" s="312"/>
      <c r="H36" s="96"/>
      <c r="I36" s="96"/>
      <c r="J36" s="96"/>
      <c r="K36" s="314" t="str">
        <f>IF(ISBLANK(Anreise_Besuchende[[#This Row],[Besucheranzahl]]),"", SUM(Anreise_Besuchende[[#This Row],[Scope 1 Ergebnis location-based '[kg CO2e']]:[Scope 3 Ergebnis location-based '[kg CO2e']]]))</f>
        <v/>
      </c>
      <c r="L36" s="15" t="str">
        <f>IF(ISBLANK(Anreise_Besuchende[[#This Row],[Verkehrsmittel (Dropdown)]]),"",CONCATENATE(Anreise_Besuchende[[#This Row],[Sektor_Thema]]," - ",Anreise_Besuchende[[#This Row],[Verkehrsmittel (Dropdown)]]))</f>
        <v/>
      </c>
      <c r="M36" s="15" t="str">
        <f>IFERROR(VLOOKUP(Anreise_Besuchende[[#This Row],[Thema_Bezeichung]],EFs_Besuchende[],5,FALSE),"")</f>
        <v/>
      </c>
      <c r="N36" s="15" t="str">
        <f>IFERROR(VLOOKUP(Anreise_Besuchende[[#This Row],[Thema_Bezeichung]],EFs_Besuchende[],6,FALSE),"")</f>
        <v/>
      </c>
      <c r="O36" s="15" t="str">
        <f>IFERROR(VLOOKUP(Anreise_Besuchende[[#This Row],[Thema_Bezeichung]],EFs_Besuchende[],7,FALSE),"")</f>
        <v/>
      </c>
      <c r="P36" s="15" t="str">
        <f>IFERROR(Anreise_Besuchende[[#This Row],[Besucheranzahl]]*Anreise_Besuchende[[#This Row],[Durchschnittliche Distanz 
(km einfach)]]*Anreise_Besuchende[[#This Row],[Scope 1 Emissionsfaktor '[kg CO2e/Einheit']]]*2,"")</f>
        <v/>
      </c>
      <c r="Q36" s="15" t="str">
        <f>IFERROR(Anreise_Besuchende[[#This Row],[Besucheranzahl]]*Anreise_Besuchende[[#This Row],[Durchschnittliche Distanz 
(km einfach)]]*Anreise_Besuchende[[#This Row],[Scope 2 Emissionsfaktor '[kg CO2e/Einheit']]]*2,"")</f>
        <v/>
      </c>
      <c r="R36" s="15" t="str">
        <f>IFERROR(Anreise_Besuchende[[#This Row],[Besucheranzahl]]*Anreise_Besuchende[[#This Row],[Durchschnittliche Distanz 
(km einfach)]]*Anreise_Besuchende[[#This Row],[Scope 3 Emissionsfaktor '[kg CO2e/Einheit']]]*2,"")</f>
        <v/>
      </c>
    </row>
    <row r="37" spans="2:18" s="95" customFormat="1" x14ac:dyDescent="0.35">
      <c r="B37" s="418"/>
      <c r="C37" t="str">
        <f t="shared" si="0"/>
        <v>Anreise_Besuchende</v>
      </c>
      <c r="D37" s="96"/>
      <c r="E37" s="96"/>
      <c r="F37" s="313"/>
      <c r="G37" s="312"/>
      <c r="H37" s="96"/>
      <c r="I37" s="96"/>
      <c r="J37" s="96"/>
      <c r="K37" s="314" t="str">
        <f>IF(ISBLANK(Anreise_Besuchende[[#This Row],[Besucheranzahl]]),"", SUM(Anreise_Besuchende[[#This Row],[Scope 1 Ergebnis location-based '[kg CO2e']]:[Scope 3 Ergebnis location-based '[kg CO2e']]]))</f>
        <v/>
      </c>
      <c r="L37" s="15" t="str">
        <f>IF(ISBLANK(Anreise_Besuchende[[#This Row],[Verkehrsmittel (Dropdown)]]),"",CONCATENATE(Anreise_Besuchende[[#This Row],[Sektor_Thema]]," - ",Anreise_Besuchende[[#This Row],[Verkehrsmittel (Dropdown)]]))</f>
        <v/>
      </c>
      <c r="M37" s="15" t="str">
        <f>IFERROR(VLOOKUP(Anreise_Besuchende[[#This Row],[Thema_Bezeichung]],EFs_Besuchende[],5,FALSE),"")</f>
        <v/>
      </c>
      <c r="N37" s="15" t="str">
        <f>IFERROR(VLOOKUP(Anreise_Besuchende[[#This Row],[Thema_Bezeichung]],EFs_Besuchende[],6,FALSE),"")</f>
        <v/>
      </c>
      <c r="O37" s="15" t="str">
        <f>IFERROR(VLOOKUP(Anreise_Besuchende[[#This Row],[Thema_Bezeichung]],EFs_Besuchende[],7,FALSE),"")</f>
        <v/>
      </c>
      <c r="P37" s="15" t="str">
        <f>IFERROR(Anreise_Besuchende[[#This Row],[Besucheranzahl]]*Anreise_Besuchende[[#This Row],[Durchschnittliche Distanz 
(km einfach)]]*Anreise_Besuchende[[#This Row],[Scope 1 Emissionsfaktor '[kg CO2e/Einheit']]]*2,"")</f>
        <v/>
      </c>
      <c r="Q37" s="15" t="str">
        <f>IFERROR(Anreise_Besuchende[[#This Row],[Besucheranzahl]]*Anreise_Besuchende[[#This Row],[Durchschnittliche Distanz 
(km einfach)]]*Anreise_Besuchende[[#This Row],[Scope 2 Emissionsfaktor '[kg CO2e/Einheit']]]*2,"")</f>
        <v/>
      </c>
      <c r="R37" s="15" t="str">
        <f>IFERROR(Anreise_Besuchende[[#This Row],[Besucheranzahl]]*Anreise_Besuchende[[#This Row],[Durchschnittliche Distanz 
(km einfach)]]*Anreise_Besuchende[[#This Row],[Scope 3 Emissionsfaktor '[kg CO2e/Einheit']]]*2,"")</f>
        <v/>
      </c>
    </row>
    <row r="38" spans="2:18" s="95" customFormat="1" x14ac:dyDescent="0.35">
      <c r="B38" s="418"/>
      <c r="C38" s="95" t="str">
        <f t="shared" si="0"/>
        <v>Anreise_Besuchende</v>
      </c>
      <c r="D38" s="96"/>
      <c r="E38" s="96"/>
      <c r="F38" s="313"/>
      <c r="G38" s="312"/>
      <c r="H38" s="96"/>
      <c r="I38" s="96"/>
      <c r="J38" s="96"/>
      <c r="K38" s="315" t="str">
        <f>IF(ISBLANK(Anreise_Besuchende[[#This Row],[Besucheranzahl]]),"", SUM(Anreise_Besuchende[[#This Row],[Scope 1 Ergebnis location-based '[kg CO2e']]:[Scope 3 Ergebnis location-based '[kg CO2e']]]))</f>
        <v/>
      </c>
      <c r="L38" s="100" t="str">
        <f>IF(ISBLANK(Anreise_Besuchende[[#This Row],[Verkehrsmittel (Dropdown)]]),"",CONCATENATE(Anreise_Besuchende[[#This Row],[Sektor_Thema]]," - ",Anreise_Besuchende[[#This Row],[Verkehrsmittel (Dropdown)]]))</f>
        <v/>
      </c>
      <c r="M38" s="100" t="str">
        <f>IFERROR(VLOOKUP(Anreise_Besuchende[[#This Row],[Thema_Bezeichung]],EFs_Besuchende[],5,FALSE),"")</f>
        <v/>
      </c>
      <c r="N38" s="100" t="str">
        <f>IFERROR(VLOOKUP(Anreise_Besuchende[[#This Row],[Thema_Bezeichung]],EFs_Besuchende[],6,FALSE),"")</f>
        <v/>
      </c>
      <c r="O38" s="100" t="str">
        <f>IFERROR(VLOOKUP(Anreise_Besuchende[[#This Row],[Thema_Bezeichung]],EFs_Besuchende[],7,FALSE),"")</f>
        <v/>
      </c>
      <c r="P38" s="100" t="str">
        <f>IFERROR(Anreise_Besuchende[[#This Row],[Besucheranzahl]]*Anreise_Besuchende[[#This Row],[Durchschnittliche Distanz 
(km einfach)]]*Anreise_Besuchende[[#This Row],[Scope 1 Emissionsfaktor '[kg CO2e/Einheit']]]*2,"")</f>
        <v/>
      </c>
      <c r="Q38" s="100" t="str">
        <f>IFERROR(Anreise_Besuchende[[#This Row],[Besucheranzahl]]*Anreise_Besuchende[[#This Row],[Durchschnittliche Distanz 
(km einfach)]]*Anreise_Besuchende[[#This Row],[Scope 2 Emissionsfaktor '[kg CO2e/Einheit']]]*2,"")</f>
        <v/>
      </c>
      <c r="R38" s="100" t="str">
        <f>IFERROR(Anreise_Besuchende[[#This Row],[Besucheranzahl]]*Anreise_Besuchende[[#This Row],[Durchschnittliche Distanz 
(km einfach)]]*Anreise_Besuchende[[#This Row],[Scope 3 Emissionsfaktor '[kg CO2e/Einheit']]]*2,"")</f>
        <v/>
      </c>
    </row>
    <row r="39" spans="2:18" s="95" customFormat="1" ht="15" thickBot="1" x14ac:dyDescent="0.4">
      <c r="B39" s="419"/>
      <c r="C39" s="95" t="str">
        <f t="shared" si="0"/>
        <v>Anreise_Besuchende</v>
      </c>
      <c r="D39" s="96"/>
      <c r="E39" s="96"/>
      <c r="F39" s="313"/>
      <c r="G39" s="312"/>
      <c r="H39" s="96"/>
      <c r="I39" s="96"/>
      <c r="J39" s="96"/>
      <c r="K39" s="315" t="str">
        <f>IF(ISBLANK(Anreise_Besuchende[[#This Row],[Besucheranzahl]]),"", SUM(Anreise_Besuchende[[#This Row],[Scope 1 Ergebnis location-based '[kg CO2e']]:[Scope 3 Ergebnis location-based '[kg CO2e']]]))</f>
        <v/>
      </c>
      <c r="L39" s="100" t="str">
        <f>IF(ISBLANK(Anreise_Besuchende[[#This Row],[Verkehrsmittel (Dropdown)]]),"",CONCATENATE(Anreise_Besuchende[[#This Row],[Sektor_Thema]]," - ",Anreise_Besuchende[[#This Row],[Verkehrsmittel (Dropdown)]]))</f>
        <v/>
      </c>
      <c r="M39" s="100" t="str">
        <f>IFERROR(VLOOKUP(Anreise_Besuchende[[#This Row],[Thema_Bezeichung]],EFs_Besuchende[],5,FALSE),"")</f>
        <v/>
      </c>
      <c r="N39" s="100" t="str">
        <f>IFERROR(VLOOKUP(Anreise_Besuchende[[#This Row],[Thema_Bezeichung]],EFs_Besuchende[],6,FALSE),"")</f>
        <v/>
      </c>
      <c r="O39" s="100" t="str">
        <f>IFERROR(VLOOKUP(Anreise_Besuchende[[#This Row],[Thema_Bezeichung]],EFs_Besuchende[],7,FALSE),"")</f>
        <v/>
      </c>
      <c r="P39" s="100" t="str">
        <f>IFERROR(Anreise_Besuchende[[#This Row],[Besucheranzahl]]*Anreise_Besuchende[[#This Row],[Durchschnittliche Distanz 
(km einfach)]]*Anreise_Besuchende[[#This Row],[Scope 1 Emissionsfaktor '[kg CO2e/Einheit']]]*2,"")</f>
        <v/>
      </c>
      <c r="Q39" s="100" t="str">
        <f>IFERROR(Anreise_Besuchende[[#This Row],[Besucheranzahl]]*Anreise_Besuchende[[#This Row],[Durchschnittliche Distanz 
(km einfach)]]*Anreise_Besuchende[[#This Row],[Scope 2 Emissionsfaktor '[kg CO2e/Einheit']]]*2,"")</f>
        <v/>
      </c>
      <c r="R39" s="100" t="str">
        <f>IFERROR(Anreise_Besuchende[[#This Row],[Besucheranzahl]]*Anreise_Besuchende[[#This Row],[Durchschnittliche Distanz 
(km einfach)]]*Anreise_Besuchende[[#This Row],[Scope 3 Emissionsfaktor '[kg CO2e/Einheit']]]*2,"")</f>
        <v/>
      </c>
    </row>
    <row r="40" spans="2:18" s="2" customFormat="1" ht="15" thickTop="1" x14ac:dyDescent="0.35">
      <c r="B40" s="59"/>
      <c r="D40" s="117" t="s">
        <v>226</v>
      </c>
      <c r="F40" s="317">
        <f>SUBTOTAL(109,Anreise_Besuchende[Besucheranzahl])</f>
        <v>0</v>
      </c>
      <c r="K40" s="311">
        <f>SUBTOTAL(109,Anreise_Besuchende[Ergebnis '[kg CO2e'] (vorausgefüllt)])</f>
        <v>0</v>
      </c>
      <c r="P40" s="2">
        <f>SUBTOTAL(109,Anreise_Besuchende[Scope 1 Ergebnis location-based '[kg CO2e']])</f>
        <v>0</v>
      </c>
      <c r="Q40" s="2">
        <f>SUBTOTAL(109,Anreise_Besuchende[Scope 2 Ergebnis location-based '[kg CO2e']])</f>
        <v>0</v>
      </c>
      <c r="R40" s="2">
        <f>SUBTOTAL(109,Anreise_Besuchende[Scope 3 Ergebnis location-based '[kg CO2e']])</f>
        <v>0</v>
      </c>
    </row>
    <row r="41" spans="2:18" ht="120" customHeight="1" x14ac:dyDescent="0.35">
      <c r="B41" s="197" t="s">
        <v>85</v>
      </c>
    </row>
    <row r="42" spans="2:18" x14ac:dyDescent="0.35">
      <c r="B42" s="135" t="s">
        <v>86</v>
      </c>
      <c r="L42" s="169"/>
    </row>
    <row r="43" spans="2:18" ht="18.5" x14ac:dyDescent="0.45">
      <c r="B43" s="134" t="s">
        <v>339</v>
      </c>
      <c r="L43" s="169"/>
    </row>
    <row r="44" spans="2:18" ht="32.25" customHeight="1" x14ac:dyDescent="0.35">
      <c r="B44" s="298" t="s">
        <v>93</v>
      </c>
      <c r="C44" s="299"/>
      <c r="D44" s="404" t="s">
        <v>404</v>
      </c>
      <c r="E44" s="404"/>
      <c r="F44" s="404"/>
      <c r="G44" s="404"/>
      <c r="H44" s="404"/>
      <c r="I44" s="405"/>
      <c r="L44" s="169"/>
    </row>
    <row r="45" spans="2:18" x14ac:dyDescent="0.35">
      <c r="C45" t="s">
        <v>242</v>
      </c>
      <c r="L45" s="169"/>
    </row>
    <row r="46" spans="2:18" ht="44" thickBot="1" x14ac:dyDescent="0.4">
      <c r="B46" s="10"/>
      <c r="C46" s="27" t="s">
        <v>51</v>
      </c>
      <c r="D46" s="27" t="s">
        <v>214</v>
      </c>
      <c r="E46" s="27" t="s">
        <v>71</v>
      </c>
      <c r="F46" s="27" t="s">
        <v>72</v>
      </c>
      <c r="G46" s="103" t="s">
        <v>84</v>
      </c>
      <c r="H46" s="27" t="s">
        <v>135</v>
      </c>
      <c r="I46" s="103" t="s">
        <v>80</v>
      </c>
      <c r="J46" s="103" t="s">
        <v>81</v>
      </c>
      <c r="K46" s="164" t="s">
        <v>243</v>
      </c>
      <c r="L46" s="103" t="s">
        <v>241</v>
      </c>
      <c r="M46" s="103" t="s">
        <v>87</v>
      </c>
      <c r="N46" s="103" t="s">
        <v>89</v>
      </c>
      <c r="O46" s="103" t="s">
        <v>88</v>
      </c>
      <c r="P46" s="103" t="s">
        <v>92</v>
      </c>
      <c r="Q46" s="103" t="s">
        <v>91</v>
      </c>
      <c r="R46" s="103" t="s">
        <v>90</v>
      </c>
    </row>
    <row r="47" spans="2:18" s="95" customFormat="1" ht="15" thickTop="1" x14ac:dyDescent="0.35">
      <c r="B47" s="417" t="s">
        <v>339</v>
      </c>
      <c r="C47" s="10" t="str">
        <f t="shared" ref="C47:C66" si="1">$C$45</f>
        <v>Medien</v>
      </c>
      <c r="D47" s="96"/>
      <c r="E47" s="96"/>
      <c r="F47" s="313"/>
      <c r="G47" s="10" t="str">
        <f>IFERROR(VLOOKUP(Medien[[#This Row],[Thema_Bezeichung]],Emissionsfaktoren!$C$9:$N$201,4,FALSE),"")</f>
        <v/>
      </c>
      <c r="H47" s="96"/>
      <c r="I47" s="96"/>
      <c r="J47" s="96"/>
      <c r="K47" s="309" t="str">
        <f>IF(ISBLANK(Medien[[#This Row],[Wert 
(Zahl)]]),"", SUM(Medien[[#This Row],[Scope 1 Ergebnis location-based '[kg CO2e']]:[Scope 3 Ergebnis location-based '[kg CO2e']]]))</f>
        <v/>
      </c>
      <c r="L47" s="15" t="str">
        <f>IF(ISBLANK(Medien[[#This Row],[Emissionsquelle/Aktivität (Dropdown)]]),"",CONCATENATE(Medien[[#This Row],[Sektor_Thema]]," - ",Medien[[#This Row],[Emissionsquelle/Aktivität (Dropdown)]]))</f>
        <v/>
      </c>
      <c r="M47" s="15" t="str">
        <f>IFERROR(VLOOKUP(Medien[[#This Row],[Thema_Bezeichung]],EFs_Medien[],5,FALSE),"")</f>
        <v/>
      </c>
      <c r="N47" s="15" t="str">
        <f>IFERROR(VLOOKUP(Medien[[#This Row],[Thema_Bezeichung]],EFs_Medien[],6,FALSE),"")</f>
        <v/>
      </c>
      <c r="O47" s="15" t="str">
        <f>IFERROR(VLOOKUP(Medien[[#This Row],[Thema_Bezeichung]],EFs_Medien[],7,FALSE),"")</f>
        <v/>
      </c>
      <c r="P47" s="15" t="str">
        <f>IFERROR(Medien[[#This Row],[Wert 
(Zahl)]]*Medien[[#This Row],[Scope 1 Emissionsfaktor '[kg CO2e/Einheit']]],"")</f>
        <v/>
      </c>
      <c r="Q47" s="15" t="str">
        <f>IFERROR(Medien[[#This Row],[Wert 
(Zahl)]]*Medien[[#This Row],[Scope 2 Emissionsfaktor '[kg CO2e/Einheit']]],"")</f>
        <v/>
      </c>
      <c r="R47" s="15" t="str">
        <f>IFERROR(Medien[[#This Row],[Wert 
(Zahl)]]*Medien[[#This Row],[Scope 3 Emissionsfaktor '[kg CO2e/Einheit']]],"")</f>
        <v/>
      </c>
    </row>
    <row r="48" spans="2:18" s="95" customFormat="1" x14ac:dyDescent="0.35">
      <c r="B48" s="418"/>
      <c r="C48" s="10" t="str">
        <f t="shared" si="1"/>
        <v>Medien</v>
      </c>
      <c r="D48" s="96"/>
      <c r="E48" s="96"/>
      <c r="F48" s="313"/>
      <c r="G48" s="10" t="str">
        <f>IFERROR(VLOOKUP(Medien[[#This Row],[Thema_Bezeichung]],Emissionsfaktoren!$C$9:$N$201,4,FALSE),"")</f>
        <v/>
      </c>
      <c r="H48" s="96"/>
      <c r="I48" s="96"/>
      <c r="J48" s="96"/>
      <c r="K48" s="309" t="str">
        <f>IF(ISBLANK(Medien[[#This Row],[Wert 
(Zahl)]]),"", SUM(Medien[[#This Row],[Scope 1 Ergebnis location-based '[kg CO2e']]:[Scope 3 Ergebnis location-based '[kg CO2e']]]))</f>
        <v/>
      </c>
      <c r="L48" s="15" t="str">
        <f>IF(ISBLANK(Medien[[#This Row],[Emissionsquelle/Aktivität (Dropdown)]]),"",CONCATENATE(Medien[[#This Row],[Sektor_Thema]]," - ",Medien[[#This Row],[Emissionsquelle/Aktivität (Dropdown)]]))</f>
        <v/>
      </c>
      <c r="M48" s="15" t="str">
        <f>IFERROR(VLOOKUP(Medien[[#This Row],[Thema_Bezeichung]],EFs_Medien[],5,FALSE),"")</f>
        <v/>
      </c>
      <c r="N48" s="15" t="str">
        <f>IFERROR(VLOOKUP(Medien[[#This Row],[Thema_Bezeichung]],EFs_Medien[],6,FALSE),"")</f>
        <v/>
      </c>
      <c r="O48" s="15" t="str">
        <f>IFERROR(VLOOKUP(Medien[[#This Row],[Thema_Bezeichung]],EFs_Medien[],7,FALSE),"")</f>
        <v/>
      </c>
      <c r="P48" s="15" t="str">
        <f>IFERROR(Medien[[#This Row],[Wert 
(Zahl)]]*Medien[[#This Row],[Scope 1 Emissionsfaktor '[kg CO2e/Einheit']]],"")</f>
        <v/>
      </c>
      <c r="Q48" s="15" t="str">
        <f>IFERROR(Medien[[#This Row],[Wert 
(Zahl)]]*Medien[[#This Row],[Scope 2 Emissionsfaktor '[kg CO2e/Einheit']]],"")</f>
        <v/>
      </c>
      <c r="R48" s="15" t="str">
        <f>IFERROR(Medien[[#This Row],[Wert 
(Zahl)]]*Medien[[#This Row],[Scope 3 Emissionsfaktor '[kg CO2e/Einheit']]],"")</f>
        <v/>
      </c>
    </row>
    <row r="49" spans="2:18" s="95" customFormat="1" x14ac:dyDescent="0.35">
      <c r="B49" s="418"/>
      <c r="C49" s="10" t="str">
        <f t="shared" si="1"/>
        <v>Medien</v>
      </c>
      <c r="D49" s="96"/>
      <c r="E49" s="96"/>
      <c r="F49" s="313"/>
      <c r="G49" s="10" t="str">
        <f>IFERROR(VLOOKUP(Medien[[#This Row],[Thema_Bezeichung]],Emissionsfaktoren!$C$9:$N$201,4,FALSE),"")</f>
        <v/>
      </c>
      <c r="H49" s="96"/>
      <c r="I49" s="96"/>
      <c r="J49" s="96"/>
      <c r="K49" s="309" t="str">
        <f>IF(ISBLANK(Medien[[#This Row],[Wert 
(Zahl)]]),"", SUM(Medien[[#This Row],[Scope 1 Ergebnis location-based '[kg CO2e']]:[Scope 3 Ergebnis location-based '[kg CO2e']]]))</f>
        <v/>
      </c>
      <c r="L49" s="15" t="str">
        <f>IF(ISBLANK(Medien[[#This Row],[Emissionsquelle/Aktivität (Dropdown)]]),"",CONCATENATE(Medien[[#This Row],[Sektor_Thema]]," - ",Medien[[#This Row],[Emissionsquelle/Aktivität (Dropdown)]]))</f>
        <v/>
      </c>
      <c r="M49" s="15" t="str">
        <f>IFERROR(VLOOKUP(Medien[[#This Row],[Thema_Bezeichung]],EFs_Medien[],5,FALSE),"")</f>
        <v/>
      </c>
      <c r="N49" s="15" t="str">
        <f>IFERROR(VLOOKUP(Medien[[#This Row],[Thema_Bezeichung]],EFs_Medien[],6,FALSE),"")</f>
        <v/>
      </c>
      <c r="O49" s="15" t="str">
        <f>IFERROR(VLOOKUP(Medien[[#This Row],[Thema_Bezeichung]],EFs_Medien[],7,FALSE),"")</f>
        <v/>
      </c>
      <c r="P49" s="15" t="str">
        <f>IFERROR(Medien[[#This Row],[Wert 
(Zahl)]]*Medien[[#This Row],[Scope 1 Emissionsfaktor '[kg CO2e/Einheit']]],"")</f>
        <v/>
      </c>
      <c r="Q49" s="15" t="str">
        <f>IFERROR(Medien[[#This Row],[Wert 
(Zahl)]]*Medien[[#This Row],[Scope 2 Emissionsfaktor '[kg CO2e/Einheit']]],"")</f>
        <v/>
      </c>
      <c r="R49" s="15" t="str">
        <f>IFERROR(Medien[[#This Row],[Wert 
(Zahl)]]*Medien[[#This Row],[Scope 3 Emissionsfaktor '[kg CO2e/Einheit']]],"")</f>
        <v/>
      </c>
    </row>
    <row r="50" spans="2:18" s="95" customFormat="1" x14ac:dyDescent="0.35">
      <c r="B50" s="418"/>
      <c r="C50" s="10" t="str">
        <f t="shared" si="1"/>
        <v>Medien</v>
      </c>
      <c r="D50" s="96"/>
      <c r="E50" s="96"/>
      <c r="F50" s="313"/>
      <c r="G50" s="10" t="str">
        <f>IFERROR(VLOOKUP(Medien[[#This Row],[Thema_Bezeichung]],Emissionsfaktoren!$C$9:$N$201,4,FALSE),"")</f>
        <v/>
      </c>
      <c r="H50" s="96"/>
      <c r="I50" s="96"/>
      <c r="J50" s="96"/>
      <c r="K50" s="309" t="str">
        <f>IF(ISBLANK(Medien[[#This Row],[Wert 
(Zahl)]]),"", SUM(Medien[[#This Row],[Scope 1 Ergebnis location-based '[kg CO2e']]:[Scope 3 Ergebnis location-based '[kg CO2e']]]))</f>
        <v/>
      </c>
      <c r="L50" s="15" t="str">
        <f>IF(ISBLANK(Medien[[#This Row],[Emissionsquelle/Aktivität (Dropdown)]]),"",CONCATENATE(Medien[[#This Row],[Sektor_Thema]]," - ",Medien[[#This Row],[Emissionsquelle/Aktivität (Dropdown)]]))</f>
        <v/>
      </c>
      <c r="M50" s="15" t="str">
        <f>IFERROR(VLOOKUP(Medien[[#This Row],[Thema_Bezeichung]],EFs_Medien[],5,FALSE),"")</f>
        <v/>
      </c>
      <c r="N50" s="15" t="str">
        <f>IFERROR(VLOOKUP(Medien[[#This Row],[Thema_Bezeichung]],EFs_Medien[],6,FALSE),"")</f>
        <v/>
      </c>
      <c r="O50" s="15" t="str">
        <f>IFERROR(VLOOKUP(Medien[[#This Row],[Thema_Bezeichung]],EFs_Medien[],7,FALSE),"")</f>
        <v/>
      </c>
      <c r="P50" s="15" t="str">
        <f>IFERROR(Medien[[#This Row],[Wert 
(Zahl)]]*Medien[[#This Row],[Scope 1 Emissionsfaktor '[kg CO2e/Einheit']]],"")</f>
        <v/>
      </c>
      <c r="Q50" s="15" t="str">
        <f>IFERROR(Medien[[#This Row],[Wert 
(Zahl)]]*Medien[[#This Row],[Scope 2 Emissionsfaktor '[kg CO2e/Einheit']]],"")</f>
        <v/>
      </c>
      <c r="R50" s="15" t="str">
        <f>IFERROR(Medien[[#This Row],[Wert 
(Zahl)]]*Medien[[#This Row],[Scope 3 Emissionsfaktor '[kg CO2e/Einheit']]],"")</f>
        <v/>
      </c>
    </row>
    <row r="51" spans="2:18" s="95" customFormat="1" x14ac:dyDescent="0.35">
      <c r="B51" s="418"/>
      <c r="C51" s="10" t="str">
        <f t="shared" si="1"/>
        <v>Medien</v>
      </c>
      <c r="D51" s="96"/>
      <c r="E51" s="96"/>
      <c r="F51" s="313"/>
      <c r="G51" s="10" t="str">
        <f>IFERROR(VLOOKUP(Medien[[#This Row],[Thema_Bezeichung]],Emissionsfaktoren!$C$9:$N$201,4,FALSE),"")</f>
        <v/>
      </c>
      <c r="H51" s="96"/>
      <c r="I51" s="96"/>
      <c r="J51" s="96"/>
      <c r="K51" s="309" t="str">
        <f>IF(ISBLANK(Medien[[#This Row],[Wert 
(Zahl)]]),"", SUM(Medien[[#This Row],[Scope 1 Ergebnis location-based '[kg CO2e']]:[Scope 3 Ergebnis location-based '[kg CO2e']]]))</f>
        <v/>
      </c>
      <c r="L51" s="15" t="str">
        <f>IF(ISBLANK(Medien[[#This Row],[Emissionsquelle/Aktivität (Dropdown)]]),"",CONCATENATE(Medien[[#This Row],[Sektor_Thema]]," - ",Medien[[#This Row],[Emissionsquelle/Aktivität (Dropdown)]]))</f>
        <v/>
      </c>
      <c r="M51" s="15" t="str">
        <f>IFERROR(VLOOKUP(Medien[[#This Row],[Thema_Bezeichung]],EFs_Medien[],5,FALSE),"")</f>
        <v/>
      </c>
      <c r="N51" s="15" t="str">
        <f>IFERROR(VLOOKUP(Medien[[#This Row],[Thema_Bezeichung]],EFs_Medien[],6,FALSE),"")</f>
        <v/>
      </c>
      <c r="O51" s="15" t="str">
        <f>IFERROR(VLOOKUP(Medien[[#This Row],[Thema_Bezeichung]],EFs_Medien[],7,FALSE),"")</f>
        <v/>
      </c>
      <c r="P51" s="15" t="str">
        <f>IFERROR(Medien[[#This Row],[Wert 
(Zahl)]]*Medien[[#This Row],[Scope 1 Emissionsfaktor '[kg CO2e/Einheit']]],"")</f>
        <v/>
      </c>
      <c r="Q51" s="15" t="str">
        <f>IFERROR(Medien[[#This Row],[Wert 
(Zahl)]]*Medien[[#This Row],[Scope 2 Emissionsfaktor '[kg CO2e/Einheit']]],"")</f>
        <v/>
      </c>
      <c r="R51" s="15" t="str">
        <f>IFERROR(Medien[[#This Row],[Wert 
(Zahl)]]*Medien[[#This Row],[Scope 3 Emissionsfaktor '[kg CO2e/Einheit']]],"")</f>
        <v/>
      </c>
    </row>
    <row r="52" spans="2:18" s="95" customFormat="1" x14ac:dyDescent="0.35">
      <c r="B52" s="418"/>
      <c r="C52" s="10" t="str">
        <f t="shared" si="1"/>
        <v>Medien</v>
      </c>
      <c r="D52" s="96"/>
      <c r="E52" s="96"/>
      <c r="F52" s="313"/>
      <c r="G52" s="10" t="str">
        <f>IFERROR(VLOOKUP(Medien[[#This Row],[Thema_Bezeichung]],Emissionsfaktoren!$C$9:$N$201,4,FALSE),"")</f>
        <v/>
      </c>
      <c r="H52" s="96"/>
      <c r="I52" s="96"/>
      <c r="J52" s="96"/>
      <c r="K52" s="309" t="str">
        <f>IF(ISBLANK(Medien[[#This Row],[Wert 
(Zahl)]]),"", SUM(Medien[[#This Row],[Scope 1 Ergebnis location-based '[kg CO2e']]:[Scope 3 Ergebnis location-based '[kg CO2e']]]))</f>
        <v/>
      </c>
      <c r="L52" s="15" t="str">
        <f>IF(ISBLANK(Medien[[#This Row],[Emissionsquelle/Aktivität (Dropdown)]]),"",CONCATENATE(Medien[[#This Row],[Sektor_Thema]]," - ",Medien[[#This Row],[Emissionsquelle/Aktivität (Dropdown)]]))</f>
        <v/>
      </c>
      <c r="M52" s="15" t="str">
        <f>IFERROR(VLOOKUP(Medien[[#This Row],[Thema_Bezeichung]],EFs_Medien[],5,FALSE),"")</f>
        <v/>
      </c>
      <c r="N52" s="15" t="str">
        <f>IFERROR(VLOOKUP(Medien[[#This Row],[Thema_Bezeichung]],EFs_Medien[],6,FALSE),"")</f>
        <v/>
      </c>
      <c r="O52" s="15" t="str">
        <f>IFERROR(VLOOKUP(Medien[[#This Row],[Thema_Bezeichung]],EFs_Medien[],7,FALSE),"")</f>
        <v/>
      </c>
      <c r="P52" s="15" t="str">
        <f>IFERROR(Medien[[#This Row],[Wert 
(Zahl)]]*Medien[[#This Row],[Scope 1 Emissionsfaktor '[kg CO2e/Einheit']]],"")</f>
        <v/>
      </c>
      <c r="Q52" s="15" t="str">
        <f>IFERROR(Medien[[#This Row],[Wert 
(Zahl)]]*Medien[[#This Row],[Scope 2 Emissionsfaktor '[kg CO2e/Einheit']]],"")</f>
        <v/>
      </c>
      <c r="R52" s="15" t="str">
        <f>IFERROR(Medien[[#This Row],[Wert 
(Zahl)]]*Medien[[#This Row],[Scope 3 Emissionsfaktor '[kg CO2e/Einheit']]],"")</f>
        <v/>
      </c>
    </row>
    <row r="53" spans="2:18" s="95" customFormat="1" x14ac:dyDescent="0.35">
      <c r="B53" s="418"/>
      <c r="C53" s="10" t="str">
        <f t="shared" si="1"/>
        <v>Medien</v>
      </c>
      <c r="D53" s="96"/>
      <c r="E53" s="96"/>
      <c r="F53" s="313"/>
      <c r="G53" s="10" t="str">
        <f>IFERROR(VLOOKUP(Medien[[#This Row],[Thema_Bezeichung]],Emissionsfaktoren!$C$9:$N$201,4,FALSE),"")</f>
        <v/>
      </c>
      <c r="H53" s="96"/>
      <c r="I53" s="96"/>
      <c r="J53" s="96"/>
      <c r="K53" s="309" t="str">
        <f>IF(ISBLANK(Medien[[#This Row],[Wert 
(Zahl)]]),"", SUM(Medien[[#This Row],[Scope 1 Ergebnis location-based '[kg CO2e']]:[Scope 3 Ergebnis location-based '[kg CO2e']]]))</f>
        <v/>
      </c>
      <c r="L53" s="15" t="str">
        <f>IF(ISBLANK(Medien[[#This Row],[Emissionsquelle/Aktivität (Dropdown)]]),"",CONCATENATE(Medien[[#This Row],[Sektor_Thema]]," - ",Medien[[#This Row],[Emissionsquelle/Aktivität (Dropdown)]]))</f>
        <v/>
      </c>
      <c r="M53" s="15" t="str">
        <f>IFERROR(VLOOKUP(Medien[[#This Row],[Thema_Bezeichung]],EFs_Medien[],5,FALSE),"")</f>
        <v/>
      </c>
      <c r="N53" s="15" t="str">
        <f>IFERROR(VLOOKUP(Medien[[#This Row],[Thema_Bezeichung]],EFs_Medien[],6,FALSE),"")</f>
        <v/>
      </c>
      <c r="O53" s="15" t="str">
        <f>IFERROR(VLOOKUP(Medien[[#This Row],[Thema_Bezeichung]],EFs_Medien[],7,FALSE),"")</f>
        <v/>
      </c>
      <c r="P53" s="15" t="str">
        <f>IFERROR(Medien[[#This Row],[Wert 
(Zahl)]]*Medien[[#This Row],[Scope 1 Emissionsfaktor '[kg CO2e/Einheit']]],"")</f>
        <v/>
      </c>
      <c r="Q53" s="15" t="str">
        <f>IFERROR(Medien[[#This Row],[Wert 
(Zahl)]]*Medien[[#This Row],[Scope 2 Emissionsfaktor '[kg CO2e/Einheit']]],"")</f>
        <v/>
      </c>
      <c r="R53" s="15" t="str">
        <f>IFERROR(Medien[[#This Row],[Wert 
(Zahl)]]*Medien[[#This Row],[Scope 3 Emissionsfaktor '[kg CO2e/Einheit']]],"")</f>
        <v/>
      </c>
    </row>
    <row r="54" spans="2:18" s="95" customFormat="1" x14ac:dyDescent="0.35">
      <c r="B54" s="418"/>
      <c r="C54" s="10" t="str">
        <f t="shared" si="1"/>
        <v>Medien</v>
      </c>
      <c r="D54" s="96"/>
      <c r="E54" s="96"/>
      <c r="F54" s="313"/>
      <c r="G54" s="10" t="str">
        <f>IFERROR(VLOOKUP(Medien[[#This Row],[Thema_Bezeichung]],Emissionsfaktoren!$C$9:$N$201,4,FALSE),"")</f>
        <v/>
      </c>
      <c r="H54" s="96"/>
      <c r="I54" s="96"/>
      <c r="J54" s="96"/>
      <c r="K54" s="309" t="str">
        <f>IF(ISBLANK(Medien[[#This Row],[Wert 
(Zahl)]]),"", SUM(Medien[[#This Row],[Scope 1 Ergebnis location-based '[kg CO2e']]:[Scope 3 Ergebnis location-based '[kg CO2e']]]))</f>
        <v/>
      </c>
      <c r="L54" s="15" t="str">
        <f>IF(ISBLANK(Medien[[#This Row],[Emissionsquelle/Aktivität (Dropdown)]]),"",CONCATENATE(Medien[[#This Row],[Sektor_Thema]]," - ",Medien[[#This Row],[Emissionsquelle/Aktivität (Dropdown)]]))</f>
        <v/>
      </c>
      <c r="M54" s="15" t="str">
        <f>IFERROR(VLOOKUP(Medien[[#This Row],[Thema_Bezeichung]],EFs_Medien[],5,FALSE),"")</f>
        <v/>
      </c>
      <c r="N54" s="15" t="str">
        <f>IFERROR(VLOOKUP(Medien[[#This Row],[Thema_Bezeichung]],EFs_Medien[],6,FALSE),"")</f>
        <v/>
      </c>
      <c r="O54" s="15" t="str">
        <f>IFERROR(VLOOKUP(Medien[[#This Row],[Thema_Bezeichung]],EFs_Medien[],7,FALSE),"")</f>
        <v/>
      </c>
      <c r="P54" s="15" t="str">
        <f>IFERROR(Medien[[#This Row],[Wert 
(Zahl)]]*Medien[[#This Row],[Scope 1 Emissionsfaktor '[kg CO2e/Einheit']]],"")</f>
        <v/>
      </c>
      <c r="Q54" s="15" t="str">
        <f>IFERROR(Medien[[#This Row],[Wert 
(Zahl)]]*Medien[[#This Row],[Scope 2 Emissionsfaktor '[kg CO2e/Einheit']]],"")</f>
        <v/>
      </c>
      <c r="R54" s="15" t="str">
        <f>IFERROR(Medien[[#This Row],[Wert 
(Zahl)]]*Medien[[#This Row],[Scope 3 Emissionsfaktor '[kg CO2e/Einheit']]],"")</f>
        <v/>
      </c>
    </row>
    <row r="55" spans="2:18" s="95" customFormat="1" x14ac:dyDescent="0.35">
      <c r="B55" s="418"/>
      <c r="C55" s="10" t="str">
        <f t="shared" si="1"/>
        <v>Medien</v>
      </c>
      <c r="D55" s="96"/>
      <c r="E55" s="96"/>
      <c r="F55" s="313"/>
      <c r="G55" s="10" t="str">
        <f>IFERROR(VLOOKUP(Medien[[#This Row],[Thema_Bezeichung]],Emissionsfaktoren!$C$9:$N$201,4,FALSE),"")</f>
        <v/>
      </c>
      <c r="H55" s="96"/>
      <c r="I55" s="96"/>
      <c r="J55" s="96"/>
      <c r="K55" s="309" t="str">
        <f>IF(ISBLANK(Medien[[#This Row],[Wert 
(Zahl)]]),"", SUM(Medien[[#This Row],[Scope 1 Ergebnis location-based '[kg CO2e']]:[Scope 3 Ergebnis location-based '[kg CO2e']]]))</f>
        <v/>
      </c>
      <c r="L55" s="15" t="str">
        <f>IF(ISBLANK(Medien[[#This Row],[Emissionsquelle/Aktivität (Dropdown)]]),"",CONCATENATE(Medien[[#This Row],[Sektor_Thema]]," - ",Medien[[#This Row],[Emissionsquelle/Aktivität (Dropdown)]]))</f>
        <v/>
      </c>
      <c r="M55" s="15" t="str">
        <f>IFERROR(VLOOKUP(Medien[[#This Row],[Thema_Bezeichung]],EFs_Medien[],5,FALSE),"")</f>
        <v/>
      </c>
      <c r="N55" s="15" t="str">
        <f>IFERROR(VLOOKUP(Medien[[#This Row],[Thema_Bezeichung]],EFs_Medien[],6,FALSE),"")</f>
        <v/>
      </c>
      <c r="O55" s="15" t="str">
        <f>IFERROR(VLOOKUP(Medien[[#This Row],[Thema_Bezeichung]],EFs_Medien[],7,FALSE),"")</f>
        <v/>
      </c>
      <c r="P55" s="15" t="str">
        <f>IFERROR(Medien[[#This Row],[Wert 
(Zahl)]]*Medien[[#This Row],[Scope 1 Emissionsfaktor '[kg CO2e/Einheit']]],"")</f>
        <v/>
      </c>
      <c r="Q55" s="15" t="str">
        <f>IFERROR(Medien[[#This Row],[Wert 
(Zahl)]]*Medien[[#This Row],[Scope 2 Emissionsfaktor '[kg CO2e/Einheit']]],"")</f>
        <v/>
      </c>
      <c r="R55" s="15" t="str">
        <f>IFERROR(Medien[[#This Row],[Wert 
(Zahl)]]*Medien[[#This Row],[Scope 3 Emissionsfaktor '[kg CO2e/Einheit']]],"")</f>
        <v/>
      </c>
    </row>
    <row r="56" spans="2:18" s="95" customFormat="1" x14ac:dyDescent="0.35">
      <c r="B56" s="418"/>
      <c r="C56" s="10" t="str">
        <f t="shared" si="1"/>
        <v>Medien</v>
      </c>
      <c r="D56" s="96"/>
      <c r="E56" s="96"/>
      <c r="F56" s="313"/>
      <c r="G56" s="10" t="str">
        <f>IFERROR(VLOOKUP(Medien[[#This Row],[Thema_Bezeichung]],Emissionsfaktoren!$C$9:$N$201,4,FALSE),"")</f>
        <v/>
      </c>
      <c r="H56" s="96"/>
      <c r="I56" s="96"/>
      <c r="J56" s="96"/>
      <c r="K56" s="309" t="str">
        <f>IF(ISBLANK(Medien[[#This Row],[Wert 
(Zahl)]]),"", SUM(Medien[[#This Row],[Scope 1 Ergebnis location-based '[kg CO2e']]:[Scope 3 Ergebnis location-based '[kg CO2e']]]))</f>
        <v/>
      </c>
      <c r="L56" s="15" t="str">
        <f>IF(ISBLANK(Medien[[#This Row],[Emissionsquelle/Aktivität (Dropdown)]]),"",CONCATENATE(Medien[[#This Row],[Sektor_Thema]]," - ",Medien[[#This Row],[Emissionsquelle/Aktivität (Dropdown)]]))</f>
        <v/>
      </c>
      <c r="M56" s="15" t="str">
        <f>IFERROR(VLOOKUP(Medien[[#This Row],[Thema_Bezeichung]],EFs_Medien[],5,FALSE),"")</f>
        <v/>
      </c>
      <c r="N56" s="15" t="str">
        <f>IFERROR(VLOOKUP(Medien[[#This Row],[Thema_Bezeichung]],EFs_Medien[],6,FALSE),"")</f>
        <v/>
      </c>
      <c r="O56" s="15" t="str">
        <f>IFERROR(VLOOKUP(Medien[[#This Row],[Thema_Bezeichung]],EFs_Medien[],7,FALSE),"")</f>
        <v/>
      </c>
      <c r="P56" s="15" t="str">
        <f>IFERROR(Medien[[#This Row],[Wert 
(Zahl)]]*Medien[[#This Row],[Scope 1 Emissionsfaktor '[kg CO2e/Einheit']]],"")</f>
        <v/>
      </c>
      <c r="Q56" s="15" t="str">
        <f>IFERROR(Medien[[#This Row],[Wert 
(Zahl)]]*Medien[[#This Row],[Scope 2 Emissionsfaktor '[kg CO2e/Einheit']]],"")</f>
        <v/>
      </c>
      <c r="R56" s="15" t="str">
        <f>IFERROR(Medien[[#This Row],[Wert 
(Zahl)]]*Medien[[#This Row],[Scope 3 Emissionsfaktor '[kg CO2e/Einheit']]],"")</f>
        <v/>
      </c>
    </row>
    <row r="57" spans="2:18" s="95" customFormat="1" x14ac:dyDescent="0.35">
      <c r="B57" s="418"/>
      <c r="C57" s="10" t="str">
        <f t="shared" si="1"/>
        <v>Medien</v>
      </c>
      <c r="D57" s="96"/>
      <c r="E57" s="96"/>
      <c r="F57" s="313"/>
      <c r="G57" s="10" t="str">
        <f>IFERROR(VLOOKUP(Medien[[#This Row],[Thema_Bezeichung]],Emissionsfaktoren!$C$9:$N$201,4,FALSE),"")</f>
        <v/>
      </c>
      <c r="H57" s="96"/>
      <c r="I57" s="96"/>
      <c r="J57" s="96"/>
      <c r="K57" s="309" t="str">
        <f>IF(ISBLANK(Medien[[#This Row],[Wert 
(Zahl)]]),"", SUM(Medien[[#This Row],[Scope 1 Ergebnis location-based '[kg CO2e']]:[Scope 3 Ergebnis location-based '[kg CO2e']]]))</f>
        <v/>
      </c>
      <c r="L57" s="15" t="str">
        <f>IF(ISBLANK(Medien[[#This Row],[Emissionsquelle/Aktivität (Dropdown)]]),"",CONCATENATE(Medien[[#This Row],[Sektor_Thema]]," - ",Medien[[#This Row],[Emissionsquelle/Aktivität (Dropdown)]]))</f>
        <v/>
      </c>
      <c r="M57" s="15" t="str">
        <f>IFERROR(VLOOKUP(Medien[[#This Row],[Thema_Bezeichung]],EFs_Medien[],5,FALSE),"")</f>
        <v/>
      </c>
      <c r="N57" s="15" t="str">
        <f>IFERROR(VLOOKUP(Medien[[#This Row],[Thema_Bezeichung]],EFs_Medien[],6,FALSE),"")</f>
        <v/>
      </c>
      <c r="O57" s="15" t="str">
        <f>IFERROR(VLOOKUP(Medien[[#This Row],[Thema_Bezeichung]],EFs_Medien[],7,FALSE),"")</f>
        <v/>
      </c>
      <c r="P57" s="15" t="str">
        <f>IFERROR(Medien[[#This Row],[Wert 
(Zahl)]]*Medien[[#This Row],[Scope 1 Emissionsfaktor '[kg CO2e/Einheit']]],"")</f>
        <v/>
      </c>
      <c r="Q57" s="15" t="str">
        <f>IFERROR(Medien[[#This Row],[Wert 
(Zahl)]]*Medien[[#This Row],[Scope 2 Emissionsfaktor '[kg CO2e/Einheit']]],"")</f>
        <v/>
      </c>
      <c r="R57" s="15" t="str">
        <f>IFERROR(Medien[[#This Row],[Wert 
(Zahl)]]*Medien[[#This Row],[Scope 3 Emissionsfaktor '[kg CO2e/Einheit']]],"")</f>
        <v/>
      </c>
    </row>
    <row r="58" spans="2:18" s="95" customFormat="1" x14ac:dyDescent="0.35">
      <c r="B58" s="418"/>
      <c r="C58" s="10" t="str">
        <f t="shared" si="1"/>
        <v>Medien</v>
      </c>
      <c r="D58" s="96"/>
      <c r="E58" s="96"/>
      <c r="F58" s="313"/>
      <c r="G58" s="10" t="str">
        <f>IFERROR(VLOOKUP(Medien[[#This Row],[Thema_Bezeichung]],Emissionsfaktoren!$C$9:$N$201,4,FALSE),"")</f>
        <v/>
      </c>
      <c r="H58" s="96"/>
      <c r="I58" s="96"/>
      <c r="J58" s="96"/>
      <c r="K58" s="309" t="str">
        <f>IF(ISBLANK(Medien[[#This Row],[Wert 
(Zahl)]]),"", SUM(Medien[[#This Row],[Scope 1 Ergebnis location-based '[kg CO2e']]:[Scope 3 Ergebnis location-based '[kg CO2e']]]))</f>
        <v/>
      </c>
      <c r="L58" s="15" t="str">
        <f>IF(ISBLANK(Medien[[#This Row],[Emissionsquelle/Aktivität (Dropdown)]]),"",CONCATENATE(Medien[[#This Row],[Sektor_Thema]]," - ",Medien[[#This Row],[Emissionsquelle/Aktivität (Dropdown)]]))</f>
        <v/>
      </c>
      <c r="M58" s="15" t="str">
        <f>IFERROR(VLOOKUP(Medien[[#This Row],[Thema_Bezeichung]],EFs_Medien[],5,FALSE),"")</f>
        <v/>
      </c>
      <c r="N58" s="15" t="str">
        <f>IFERROR(VLOOKUP(Medien[[#This Row],[Thema_Bezeichung]],EFs_Medien[],6,FALSE),"")</f>
        <v/>
      </c>
      <c r="O58" s="15" t="str">
        <f>IFERROR(VLOOKUP(Medien[[#This Row],[Thema_Bezeichung]],EFs_Medien[],7,FALSE),"")</f>
        <v/>
      </c>
      <c r="P58" s="15" t="str">
        <f>IFERROR(Medien[[#This Row],[Wert 
(Zahl)]]*Medien[[#This Row],[Scope 1 Emissionsfaktor '[kg CO2e/Einheit']]],"")</f>
        <v/>
      </c>
      <c r="Q58" s="15" t="str">
        <f>IFERROR(Medien[[#This Row],[Wert 
(Zahl)]]*Medien[[#This Row],[Scope 2 Emissionsfaktor '[kg CO2e/Einheit']]],"")</f>
        <v/>
      </c>
      <c r="R58" s="15" t="str">
        <f>IFERROR(Medien[[#This Row],[Wert 
(Zahl)]]*Medien[[#This Row],[Scope 3 Emissionsfaktor '[kg CO2e/Einheit']]],"")</f>
        <v/>
      </c>
    </row>
    <row r="59" spans="2:18" s="95" customFormat="1" x14ac:dyDescent="0.35">
      <c r="B59" s="418"/>
      <c r="C59" s="10" t="str">
        <f t="shared" si="1"/>
        <v>Medien</v>
      </c>
      <c r="D59" s="96"/>
      <c r="E59" s="96"/>
      <c r="F59" s="313"/>
      <c r="G59" s="10" t="str">
        <f>IFERROR(VLOOKUP(Medien[[#This Row],[Thema_Bezeichung]],Emissionsfaktoren!$C$9:$N$201,4,FALSE),"")</f>
        <v/>
      </c>
      <c r="H59" s="96"/>
      <c r="I59" s="96"/>
      <c r="J59" s="96"/>
      <c r="K59" s="309" t="str">
        <f>IF(ISBLANK(Medien[[#This Row],[Wert 
(Zahl)]]),"", SUM(Medien[[#This Row],[Scope 1 Ergebnis location-based '[kg CO2e']]:[Scope 3 Ergebnis location-based '[kg CO2e']]]))</f>
        <v/>
      </c>
      <c r="L59" s="15" t="str">
        <f>IF(ISBLANK(Medien[[#This Row],[Emissionsquelle/Aktivität (Dropdown)]]),"",CONCATENATE(Medien[[#This Row],[Sektor_Thema]]," - ",Medien[[#This Row],[Emissionsquelle/Aktivität (Dropdown)]]))</f>
        <v/>
      </c>
      <c r="M59" s="15" t="str">
        <f>IFERROR(VLOOKUP(Medien[[#This Row],[Thema_Bezeichung]],EFs_Medien[],5,FALSE),"")</f>
        <v/>
      </c>
      <c r="N59" s="15" t="str">
        <f>IFERROR(VLOOKUP(Medien[[#This Row],[Thema_Bezeichung]],EFs_Medien[],6,FALSE),"")</f>
        <v/>
      </c>
      <c r="O59" s="15" t="str">
        <f>IFERROR(VLOOKUP(Medien[[#This Row],[Thema_Bezeichung]],EFs_Medien[],7,FALSE),"")</f>
        <v/>
      </c>
      <c r="P59" s="15" t="str">
        <f>IFERROR(Medien[[#This Row],[Wert 
(Zahl)]]*Medien[[#This Row],[Scope 1 Emissionsfaktor '[kg CO2e/Einheit']]],"")</f>
        <v/>
      </c>
      <c r="Q59" s="15" t="str">
        <f>IFERROR(Medien[[#This Row],[Wert 
(Zahl)]]*Medien[[#This Row],[Scope 2 Emissionsfaktor '[kg CO2e/Einheit']]],"")</f>
        <v/>
      </c>
      <c r="R59" s="15" t="str">
        <f>IFERROR(Medien[[#This Row],[Wert 
(Zahl)]]*Medien[[#This Row],[Scope 3 Emissionsfaktor '[kg CO2e/Einheit']]],"")</f>
        <v/>
      </c>
    </row>
    <row r="60" spans="2:18" s="95" customFormat="1" x14ac:dyDescent="0.35">
      <c r="B60" s="418"/>
      <c r="C60" s="10" t="str">
        <f t="shared" si="1"/>
        <v>Medien</v>
      </c>
      <c r="D60" s="96"/>
      <c r="E60" s="96"/>
      <c r="F60" s="313"/>
      <c r="G60" s="10" t="str">
        <f>IFERROR(VLOOKUP(Medien[[#This Row],[Thema_Bezeichung]],Emissionsfaktoren!$C$9:$N$201,4,FALSE),"")</f>
        <v/>
      </c>
      <c r="H60" s="96"/>
      <c r="I60" s="96"/>
      <c r="J60" s="96"/>
      <c r="K60" s="309" t="str">
        <f>IF(ISBLANK(Medien[[#This Row],[Wert 
(Zahl)]]),"", SUM(Medien[[#This Row],[Scope 1 Ergebnis location-based '[kg CO2e']]:[Scope 3 Ergebnis location-based '[kg CO2e']]]))</f>
        <v/>
      </c>
      <c r="L60" s="15" t="str">
        <f>IF(ISBLANK(Medien[[#This Row],[Emissionsquelle/Aktivität (Dropdown)]]),"",CONCATENATE(Medien[[#This Row],[Sektor_Thema]]," - ",Medien[[#This Row],[Emissionsquelle/Aktivität (Dropdown)]]))</f>
        <v/>
      </c>
      <c r="M60" s="15" t="str">
        <f>IFERROR(VLOOKUP(Medien[[#This Row],[Thema_Bezeichung]],EFs_Medien[],5,FALSE),"")</f>
        <v/>
      </c>
      <c r="N60" s="15" t="str">
        <f>IFERROR(VLOOKUP(Medien[[#This Row],[Thema_Bezeichung]],EFs_Medien[],6,FALSE),"")</f>
        <v/>
      </c>
      <c r="O60" s="15" t="str">
        <f>IFERROR(VLOOKUP(Medien[[#This Row],[Thema_Bezeichung]],EFs_Medien[],7,FALSE),"")</f>
        <v/>
      </c>
      <c r="P60" s="15" t="str">
        <f>IFERROR(Medien[[#This Row],[Wert 
(Zahl)]]*Medien[[#This Row],[Scope 1 Emissionsfaktor '[kg CO2e/Einheit']]],"")</f>
        <v/>
      </c>
      <c r="Q60" s="15" t="str">
        <f>IFERROR(Medien[[#This Row],[Wert 
(Zahl)]]*Medien[[#This Row],[Scope 2 Emissionsfaktor '[kg CO2e/Einheit']]],"")</f>
        <v/>
      </c>
      <c r="R60" s="15" t="str">
        <f>IFERROR(Medien[[#This Row],[Wert 
(Zahl)]]*Medien[[#This Row],[Scope 3 Emissionsfaktor '[kg CO2e/Einheit']]],"")</f>
        <v/>
      </c>
    </row>
    <row r="61" spans="2:18" s="95" customFormat="1" x14ac:dyDescent="0.35">
      <c r="B61" s="418"/>
      <c r="C61" s="10" t="str">
        <f t="shared" si="1"/>
        <v>Medien</v>
      </c>
      <c r="D61" s="96"/>
      <c r="E61" s="96"/>
      <c r="F61" s="313"/>
      <c r="G61" s="10" t="str">
        <f>IFERROR(VLOOKUP(Medien[[#This Row],[Thema_Bezeichung]],Emissionsfaktoren!$C$9:$N$201,4,FALSE),"")</f>
        <v/>
      </c>
      <c r="H61" s="96"/>
      <c r="I61" s="96"/>
      <c r="J61" s="96"/>
      <c r="K61" s="309" t="str">
        <f>IF(ISBLANK(Medien[[#This Row],[Wert 
(Zahl)]]),"", SUM(Medien[[#This Row],[Scope 1 Ergebnis location-based '[kg CO2e']]:[Scope 3 Ergebnis location-based '[kg CO2e']]]))</f>
        <v/>
      </c>
      <c r="L61" s="15" t="str">
        <f>IF(ISBLANK(Medien[[#This Row],[Emissionsquelle/Aktivität (Dropdown)]]),"",CONCATENATE(Medien[[#This Row],[Sektor_Thema]]," - ",Medien[[#This Row],[Emissionsquelle/Aktivität (Dropdown)]]))</f>
        <v/>
      </c>
      <c r="M61" s="15" t="str">
        <f>IFERROR(VLOOKUP(Medien[[#This Row],[Thema_Bezeichung]],EFs_Medien[],5,FALSE),"")</f>
        <v/>
      </c>
      <c r="N61" s="15" t="str">
        <f>IFERROR(VLOOKUP(Medien[[#This Row],[Thema_Bezeichung]],EFs_Medien[],6,FALSE),"")</f>
        <v/>
      </c>
      <c r="O61" s="15" t="str">
        <f>IFERROR(VLOOKUP(Medien[[#This Row],[Thema_Bezeichung]],EFs_Medien[],7,FALSE),"")</f>
        <v/>
      </c>
      <c r="P61" s="15" t="str">
        <f>IFERROR(Medien[[#This Row],[Wert 
(Zahl)]]*Medien[[#This Row],[Scope 1 Emissionsfaktor '[kg CO2e/Einheit']]],"")</f>
        <v/>
      </c>
      <c r="Q61" s="15" t="str">
        <f>IFERROR(Medien[[#This Row],[Wert 
(Zahl)]]*Medien[[#This Row],[Scope 2 Emissionsfaktor '[kg CO2e/Einheit']]],"")</f>
        <v/>
      </c>
      <c r="R61" s="15" t="str">
        <f>IFERROR(Medien[[#This Row],[Wert 
(Zahl)]]*Medien[[#This Row],[Scope 3 Emissionsfaktor '[kg CO2e/Einheit']]],"")</f>
        <v/>
      </c>
    </row>
    <row r="62" spans="2:18" s="95" customFormat="1" x14ac:dyDescent="0.35">
      <c r="B62" s="418"/>
      <c r="C62" s="10" t="str">
        <f t="shared" si="1"/>
        <v>Medien</v>
      </c>
      <c r="D62" s="96"/>
      <c r="E62" s="96"/>
      <c r="F62" s="313"/>
      <c r="G62" s="10" t="str">
        <f>IFERROR(VLOOKUP(Medien[[#This Row],[Thema_Bezeichung]],Emissionsfaktoren!$C$9:$N$201,4,FALSE),"")</f>
        <v/>
      </c>
      <c r="H62" s="96"/>
      <c r="I62" s="96"/>
      <c r="J62" s="96"/>
      <c r="K62" s="309" t="str">
        <f>IF(ISBLANK(Medien[[#This Row],[Wert 
(Zahl)]]),"", SUM(Medien[[#This Row],[Scope 1 Ergebnis location-based '[kg CO2e']]:[Scope 3 Ergebnis location-based '[kg CO2e']]]))</f>
        <v/>
      </c>
      <c r="L62" s="15" t="str">
        <f>IF(ISBLANK(Medien[[#This Row],[Emissionsquelle/Aktivität (Dropdown)]]),"",CONCATENATE(Medien[[#This Row],[Sektor_Thema]]," - ",Medien[[#This Row],[Emissionsquelle/Aktivität (Dropdown)]]))</f>
        <v/>
      </c>
      <c r="M62" s="15" t="str">
        <f>IFERROR(VLOOKUP(Medien[[#This Row],[Thema_Bezeichung]],EFs_Medien[],5,FALSE),"")</f>
        <v/>
      </c>
      <c r="N62" s="15" t="str">
        <f>IFERROR(VLOOKUP(Medien[[#This Row],[Thema_Bezeichung]],EFs_Medien[],6,FALSE),"")</f>
        <v/>
      </c>
      <c r="O62" s="15" t="str">
        <f>IFERROR(VLOOKUP(Medien[[#This Row],[Thema_Bezeichung]],EFs_Medien[],7,FALSE),"")</f>
        <v/>
      </c>
      <c r="P62" s="15" t="str">
        <f>IFERROR(Medien[[#This Row],[Wert 
(Zahl)]]*Medien[[#This Row],[Scope 1 Emissionsfaktor '[kg CO2e/Einheit']]],"")</f>
        <v/>
      </c>
      <c r="Q62" s="15" t="str">
        <f>IFERROR(Medien[[#This Row],[Wert 
(Zahl)]]*Medien[[#This Row],[Scope 2 Emissionsfaktor '[kg CO2e/Einheit']]],"")</f>
        <v/>
      </c>
      <c r="R62" s="15" t="str">
        <f>IFERROR(Medien[[#This Row],[Wert 
(Zahl)]]*Medien[[#This Row],[Scope 3 Emissionsfaktor '[kg CO2e/Einheit']]],"")</f>
        <v/>
      </c>
    </row>
    <row r="63" spans="2:18" s="95" customFormat="1" x14ac:dyDescent="0.35">
      <c r="B63" s="418"/>
      <c r="C63" s="10" t="str">
        <f t="shared" si="1"/>
        <v>Medien</v>
      </c>
      <c r="D63" s="96"/>
      <c r="E63" s="96"/>
      <c r="F63" s="313"/>
      <c r="G63" s="10" t="str">
        <f>IFERROR(VLOOKUP(Medien[[#This Row],[Thema_Bezeichung]],Emissionsfaktoren!$C$9:$N$201,4,FALSE),"")</f>
        <v/>
      </c>
      <c r="H63" s="96"/>
      <c r="I63" s="96"/>
      <c r="J63" s="96"/>
      <c r="K63" s="309" t="str">
        <f>IF(ISBLANK(Medien[[#This Row],[Wert 
(Zahl)]]),"", SUM(Medien[[#This Row],[Scope 1 Ergebnis location-based '[kg CO2e']]:[Scope 3 Ergebnis location-based '[kg CO2e']]]))</f>
        <v/>
      </c>
      <c r="L63" s="15" t="str">
        <f>IF(ISBLANK(Medien[[#This Row],[Emissionsquelle/Aktivität (Dropdown)]]),"",CONCATENATE(Medien[[#This Row],[Sektor_Thema]]," - ",Medien[[#This Row],[Emissionsquelle/Aktivität (Dropdown)]]))</f>
        <v/>
      </c>
      <c r="M63" s="15" t="str">
        <f>IFERROR(VLOOKUP(Medien[[#This Row],[Thema_Bezeichung]],EFs_Medien[],5,FALSE),"")</f>
        <v/>
      </c>
      <c r="N63" s="15" t="str">
        <f>IFERROR(VLOOKUP(Medien[[#This Row],[Thema_Bezeichung]],EFs_Medien[],6,FALSE),"")</f>
        <v/>
      </c>
      <c r="O63" s="15" t="str">
        <f>IFERROR(VLOOKUP(Medien[[#This Row],[Thema_Bezeichung]],EFs_Medien[],7,FALSE),"")</f>
        <v/>
      </c>
      <c r="P63" s="15" t="str">
        <f>IFERROR(Medien[[#This Row],[Wert 
(Zahl)]]*Medien[[#This Row],[Scope 1 Emissionsfaktor '[kg CO2e/Einheit']]],"")</f>
        <v/>
      </c>
      <c r="Q63" s="15" t="str">
        <f>IFERROR(Medien[[#This Row],[Wert 
(Zahl)]]*Medien[[#This Row],[Scope 2 Emissionsfaktor '[kg CO2e/Einheit']]],"")</f>
        <v/>
      </c>
      <c r="R63" s="15" t="str">
        <f>IFERROR(Medien[[#This Row],[Wert 
(Zahl)]]*Medien[[#This Row],[Scope 3 Emissionsfaktor '[kg CO2e/Einheit']]],"")</f>
        <v/>
      </c>
    </row>
    <row r="64" spans="2:18" s="95" customFormat="1" x14ac:dyDescent="0.35">
      <c r="B64" s="418"/>
      <c r="C64" s="10" t="str">
        <f t="shared" si="1"/>
        <v>Medien</v>
      </c>
      <c r="D64" s="96"/>
      <c r="E64" s="96"/>
      <c r="F64" s="313"/>
      <c r="G64" s="10" t="str">
        <f>IFERROR(VLOOKUP(Medien[[#This Row],[Thema_Bezeichung]],Emissionsfaktoren!$C$9:$N$201,4,FALSE),"")</f>
        <v/>
      </c>
      <c r="H64" s="96"/>
      <c r="I64" s="96"/>
      <c r="J64" s="96"/>
      <c r="K64" s="309" t="str">
        <f>IF(ISBLANK(Medien[[#This Row],[Wert 
(Zahl)]]),"", SUM(Medien[[#This Row],[Scope 1 Ergebnis location-based '[kg CO2e']]:[Scope 3 Ergebnis location-based '[kg CO2e']]]))</f>
        <v/>
      </c>
      <c r="L64" s="15" t="str">
        <f>IF(ISBLANK(Medien[[#This Row],[Emissionsquelle/Aktivität (Dropdown)]]),"",CONCATENATE(Medien[[#This Row],[Sektor_Thema]]," - ",Medien[[#This Row],[Emissionsquelle/Aktivität (Dropdown)]]))</f>
        <v/>
      </c>
      <c r="M64" s="15" t="str">
        <f>IFERROR(VLOOKUP(Medien[[#This Row],[Thema_Bezeichung]],EFs_Medien[],5,FALSE),"")</f>
        <v/>
      </c>
      <c r="N64" s="15" t="str">
        <f>IFERROR(VLOOKUP(Medien[[#This Row],[Thema_Bezeichung]],EFs_Medien[],6,FALSE),"")</f>
        <v/>
      </c>
      <c r="O64" s="15" t="str">
        <f>IFERROR(VLOOKUP(Medien[[#This Row],[Thema_Bezeichung]],EFs_Medien[],7,FALSE),"")</f>
        <v/>
      </c>
      <c r="P64" s="15" t="str">
        <f>IFERROR(Medien[[#This Row],[Wert 
(Zahl)]]*Medien[[#This Row],[Scope 1 Emissionsfaktor '[kg CO2e/Einheit']]],"")</f>
        <v/>
      </c>
      <c r="Q64" s="15" t="str">
        <f>IFERROR(Medien[[#This Row],[Wert 
(Zahl)]]*Medien[[#This Row],[Scope 2 Emissionsfaktor '[kg CO2e/Einheit']]],"")</f>
        <v/>
      </c>
      <c r="R64" s="15" t="str">
        <f>IFERROR(Medien[[#This Row],[Wert 
(Zahl)]]*Medien[[#This Row],[Scope 3 Emissionsfaktor '[kg CO2e/Einheit']]],"")</f>
        <v/>
      </c>
    </row>
    <row r="65" spans="1:23" s="95" customFormat="1" x14ac:dyDescent="0.35">
      <c r="B65" s="418"/>
      <c r="C65" s="96" t="str">
        <f t="shared" si="1"/>
        <v>Medien</v>
      </c>
      <c r="D65" s="96"/>
      <c r="E65" s="96"/>
      <c r="F65" s="313"/>
      <c r="G65" s="96" t="str">
        <f>IFERROR(VLOOKUP(Medien[[#This Row],[Thema_Bezeichung]],Emissionsfaktoren!$C$9:$N$201,4,FALSE),"")</f>
        <v/>
      </c>
      <c r="H65" s="96"/>
      <c r="I65" s="96"/>
      <c r="J65" s="96"/>
      <c r="K65" s="310" t="str">
        <f>IF(ISBLANK(Medien[[#This Row],[Wert 
(Zahl)]]),"", SUM(Medien[[#This Row],[Scope 1 Ergebnis location-based '[kg CO2e']]:[Scope 3 Ergebnis location-based '[kg CO2e']]]))</f>
        <v/>
      </c>
      <c r="L65" s="100" t="str">
        <f>IF(ISBLANK(Medien[[#This Row],[Emissionsquelle/Aktivität (Dropdown)]]),"",CONCATENATE(Medien[[#This Row],[Sektor_Thema]]," - ",Medien[[#This Row],[Emissionsquelle/Aktivität (Dropdown)]]))</f>
        <v/>
      </c>
      <c r="M65" s="100" t="str">
        <f>IFERROR(VLOOKUP(Medien[[#This Row],[Thema_Bezeichung]],EFs_Medien[],5,FALSE),"")</f>
        <v/>
      </c>
      <c r="N65" s="100" t="str">
        <f>IFERROR(VLOOKUP(Medien[[#This Row],[Thema_Bezeichung]],EFs_Medien[],6,FALSE),"")</f>
        <v/>
      </c>
      <c r="O65" s="100" t="str">
        <f>IFERROR(VLOOKUP(Medien[[#This Row],[Thema_Bezeichung]],EFs_Medien[],7,FALSE),"")</f>
        <v/>
      </c>
      <c r="P65" s="100" t="str">
        <f>IFERROR(Medien[[#This Row],[Wert 
(Zahl)]]*Medien[[#This Row],[Scope 1 Emissionsfaktor '[kg CO2e/Einheit']]],"")</f>
        <v/>
      </c>
      <c r="Q65" s="100" t="str">
        <f>IFERROR(Medien[[#This Row],[Wert 
(Zahl)]]*Medien[[#This Row],[Scope 2 Emissionsfaktor '[kg CO2e/Einheit']]],"")</f>
        <v/>
      </c>
      <c r="R65" s="100" t="str">
        <f>IFERROR(Medien[[#This Row],[Wert 
(Zahl)]]*Medien[[#This Row],[Scope 3 Emissionsfaktor '[kg CO2e/Einheit']]],"")</f>
        <v/>
      </c>
    </row>
    <row r="66" spans="1:23" s="95" customFormat="1" ht="15" thickBot="1" x14ac:dyDescent="0.4">
      <c r="B66" s="419"/>
      <c r="C66" s="96" t="str">
        <f t="shared" si="1"/>
        <v>Medien</v>
      </c>
      <c r="D66" s="96"/>
      <c r="E66" s="96"/>
      <c r="F66" s="313"/>
      <c r="G66" s="96" t="str">
        <f>IFERROR(VLOOKUP(Medien[[#This Row],[Thema_Bezeichung]],Emissionsfaktoren!$C$9:$N$201,4,FALSE),"")</f>
        <v/>
      </c>
      <c r="H66" s="96"/>
      <c r="I66" s="96"/>
      <c r="J66" s="96"/>
      <c r="K66" s="310" t="str">
        <f>IF(ISBLANK(Medien[[#This Row],[Wert 
(Zahl)]]),"", SUM(Medien[[#This Row],[Scope 1 Ergebnis location-based '[kg CO2e']]:[Scope 3 Ergebnis location-based '[kg CO2e']]]))</f>
        <v/>
      </c>
      <c r="L66" s="100" t="str">
        <f>IF(ISBLANK(Medien[[#This Row],[Emissionsquelle/Aktivität (Dropdown)]]),"",CONCATENATE(Medien[[#This Row],[Sektor_Thema]]," - ",Medien[[#This Row],[Emissionsquelle/Aktivität (Dropdown)]]))</f>
        <v/>
      </c>
      <c r="M66" s="100" t="str">
        <f>IFERROR(VLOOKUP(Medien[[#This Row],[Thema_Bezeichung]],EFs_Medien[],5,FALSE),"")</f>
        <v/>
      </c>
      <c r="N66" s="100" t="str">
        <f>IFERROR(VLOOKUP(Medien[[#This Row],[Thema_Bezeichung]],EFs_Medien[],6,FALSE),"")</f>
        <v/>
      </c>
      <c r="O66" s="100" t="str">
        <f>IFERROR(VLOOKUP(Medien[[#This Row],[Thema_Bezeichung]],EFs_Medien[],7,FALSE),"")</f>
        <v/>
      </c>
      <c r="P66" s="100" t="str">
        <f>IFERROR(Medien[[#This Row],[Wert 
(Zahl)]]*Medien[[#This Row],[Scope 1 Emissionsfaktor '[kg CO2e/Einheit']]],"")</f>
        <v/>
      </c>
      <c r="Q66" s="100" t="str">
        <f>IFERROR(Medien[[#This Row],[Wert 
(Zahl)]]*Medien[[#This Row],[Scope 2 Emissionsfaktor '[kg CO2e/Einheit']]],"")</f>
        <v/>
      </c>
      <c r="R66" s="100" t="str">
        <f>IFERROR(Medien[[#This Row],[Wert 
(Zahl)]]*Medien[[#This Row],[Scope 3 Emissionsfaktor '[kg CO2e/Einheit']]],"")</f>
        <v/>
      </c>
    </row>
    <row r="67" spans="1:23" s="2" customFormat="1" ht="15" thickTop="1" x14ac:dyDescent="0.35">
      <c r="B67" s="59"/>
      <c r="D67" s="2" t="s">
        <v>226</v>
      </c>
      <c r="K67" s="316">
        <f>SUBTOTAL(109,Medien[Ergebnis '[kg CO2e'] (vorausgefüllt)])</f>
        <v>0</v>
      </c>
      <c r="P67" s="2">
        <f>SUBTOTAL(109,Medien[Scope 1 Ergebnis location-based '[kg CO2e']])</f>
        <v>0</v>
      </c>
      <c r="Q67" s="2">
        <f>SUBTOTAL(109,Medien[Scope 2 Ergebnis location-based '[kg CO2e']])</f>
        <v>0</v>
      </c>
      <c r="R67" s="2">
        <f>SUBTOTAL(109,Medien[Scope 3 Ergebnis location-based '[kg CO2e']])</f>
        <v>0</v>
      </c>
    </row>
    <row r="68" spans="1:23" ht="120" customHeight="1" x14ac:dyDescent="0.35">
      <c r="B68" s="197" t="s">
        <v>85</v>
      </c>
      <c r="C68" s="11"/>
      <c r="D68" s="11"/>
      <c r="L68" s="169"/>
    </row>
    <row r="69" spans="1:23" x14ac:dyDescent="0.35">
      <c r="B69" s="135" t="s">
        <v>86</v>
      </c>
    </row>
    <row r="70" spans="1:23" s="1" customFormat="1" ht="20.25" customHeight="1" x14ac:dyDescent="0.45">
      <c r="A70"/>
      <c r="B70" s="134" t="s">
        <v>23</v>
      </c>
      <c r="C70"/>
      <c r="D70"/>
      <c r="E70"/>
      <c r="F70"/>
      <c r="G70"/>
      <c r="H70"/>
      <c r="I70"/>
      <c r="J70"/>
      <c r="K70"/>
      <c r="L70"/>
      <c r="M70"/>
      <c r="N70"/>
      <c r="O70"/>
      <c r="P70"/>
      <c r="Q70"/>
      <c r="R70"/>
      <c r="S70"/>
      <c r="T70"/>
      <c r="U70"/>
      <c r="V70"/>
      <c r="W70"/>
    </row>
    <row r="71" spans="1:23" ht="79.5" customHeight="1" x14ac:dyDescent="0.35">
      <c r="A71" s="1"/>
      <c r="B71" s="303" t="s">
        <v>93</v>
      </c>
      <c r="C71" s="304"/>
      <c r="D71" s="404" t="s">
        <v>402</v>
      </c>
      <c r="E71" s="404"/>
      <c r="F71" s="404"/>
      <c r="G71" s="404"/>
      <c r="H71" s="404"/>
      <c r="I71" s="405"/>
      <c r="J71" s="1"/>
      <c r="K71" s="1"/>
      <c r="L71" s="1"/>
      <c r="M71" s="1"/>
      <c r="N71" s="1"/>
      <c r="O71" s="1"/>
      <c r="P71" s="1"/>
      <c r="Q71" s="1"/>
      <c r="R71" s="1"/>
      <c r="S71" s="1"/>
      <c r="T71" s="1"/>
      <c r="U71" s="1"/>
      <c r="V71" s="1"/>
      <c r="W71" s="1"/>
    </row>
    <row r="72" spans="1:23" x14ac:dyDescent="0.35">
      <c r="C72" t="s">
        <v>52</v>
      </c>
    </row>
    <row r="73" spans="1:23" ht="44" thickBot="1" x14ac:dyDescent="0.4">
      <c r="B73" s="10"/>
      <c r="C73" s="27" t="s">
        <v>51</v>
      </c>
      <c r="D73" s="158" t="s">
        <v>214</v>
      </c>
      <c r="E73" s="158" t="s">
        <v>71</v>
      </c>
      <c r="F73" s="158" t="s">
        <v>72</v>
      </c>
      <c r="G73" s="102" t="s">
        <v>84</v>
      </c>
      <c r="H73" s="158" t="s">
        <v>135</v>
      </c>
      <c r="I73" s="102" t="s">
        <v>80</v>
      </c>
      <c r="J73" s="102" t="s">
        <v>81</v>
      </c>
      <c r="K73" s="142" t="s">
        <v>322</v>
      </c>
      <c r="L73" s="103" t="s">
        <v>241</v>
      </c>
      <c r="M73" s="103" t="s">
        <v>87</v>
      </c>
      <c r="N73" s="103" t="s">
        <v>89</v>
      </c>
      <c r="O73" s="103" t="s">
        <v>88</v>
      </c>
      <c r="P73" s="103" t="s">
        <v>92</v>
      </c>
      <c r="Q73" s="103" t="s">
        <v>91</v>
      </c>
      <c r="R73" s="103" t="s">
        <v>90</v>
      </c>
    </row>
    <row r="74" spans="1:23" s="92" customFormat="1" ht="15" thickTop="1" x14ac:dyDescent="0.35">
      <c r="B74" s="422" t="s">
        <v>23</v>
      </c>
      <c r="C74" s="1" t="str">
        <f t="shared" ref="C74:C93" si="2">$C$72</f>
        <v>IT_Dienstleistungen</v>
      </c>
      <c r="D74" s="96"/>
      <c r="E74" s="96"/>
      <c r="F74" s="313"/>
      <c r="G74" s="10" t="str">
        <f>IFERROR(VLOOKUP(IT_Dienstleistungen[[#This Row],[Thema_Bezeichung]],Emissionsfaktoren!$C$9:$N$201,4,FALSE),"")</f>
        <v/>
      </c>
      <c r="H74" s="96"/>
      <c r="I74" s="96"/>
      <c r="J74" s="96"/>
      <c r="K74" s="309" t="str">
        <f>IF(ISBLANK(IT_Dienstleistungen[[#This Row],[Wert 
(Zahl)]]),"",SUM(IT_Dienstleistungen[[#This Row],[Scope 1 Ergebnis location-based '[kg CO2e']]:[Scope 3 Ergebnis location-based '[kg CO2e']]]))</f>
        <v/>
      </c>
      <c r="L74" s="15" t="str">
        <f>IF(ISBLANK(IT_Dienstleistungen[[#This Row],[Emissionsquelle/Aktivität (Dropdown)]]),"",CONCATENATE(IT_Dienstleistungen[[#This Row],[Sektor_Thema]]," - ",IT_Dienstleistungen[[#This Row],[Emissionsquelle/Aktivität (Dropdown)]]))</f>
        <v/>
      </c>
      <c r="M74" s="10" t="str">
        <f>IFERROR(VLOOKUP(IT_Dienstleistungen[[#This Row],[Thema_Bezeichung]],EFs_IT[],5,FALSE),"")</f>
        <v/>
      </c>
      <c r="N74" s="10" t="str">
        <f>IFERROR(VLOOKUP(IT_Dienstleistungen[[#This Row],[Thema_Bezeichung]],EFs_IT[],6,FALSE),"")</f>
        <v/>
      </c>
      <c r="O74" s="10" t="str">
        <f>IFERROR(VLOOKUP(IT_Dienstleistungen[[#This Row],[Thema_Bezeichung]],EFs_IT[],7,FALSE),"")</f>
        <v/>
      </c>
      <c r="P74" s="10" t="str">
        <f>IFERROR(IT_Dienstleistungen[[#This Row],[Wert 
(Zahl)]]*IT_Dienstleistungen[[#This Row],[Scope 1 Emissionsfaktor '[kg CO2e/Einheit']]],"")</f>
        <v/>
      </c>
      <c r="Q74" s="10" t="str">
        <f>IFERROR(IT_Dienstleistungen[[#This Row],[Wert 
(Zahl)]]*IT_Dienstleistungen[[#This Row],[Scope 2 Emissionsfaktor '[kg CO2e/Einheit']]],"")</f>
        <v/>
      </c>
      <c r="R74" s="10" t="str">
        <f>IFERROR(IT_Dienstleistungen[[#This Row],[Wert 
(Zahl)]]*IT_Dienstleistungen[[#This Row],[Scope 3 Emissionsfaktor '[kg CO2e/Einheit']]],"")</f>
        <v/>
      </c>
    </row>
    <row r="75" spans="1:23" s="92" customFormat="1" x14ac:dyDescent="0.35">
      <c r="B75" s="423"/>
      <c r="C75" s="1" t="str">
        <f t="shared" si="2"/>
        <v>IT_Dienstleistungen</v>
      </c>
      <c r="D75" s="96"/>
      <c r="E75" s="96"/>
      <c r="F75" s="313"/>
      <c r="G75" s="10" t="str">
        <f>IFERROR(VLOOKUP(IT_Dienstleistungen[[#This Row],[Thema_Bezeichung]],Emissionsfaktoren!$C$9:$N$201,4,FALSE),"")</f>
        <v/>
      </c>
      <c r="H75" s="96"/>
      <c r="I75" s="96"/>
      <c r="J75" s="96"/>
      <c r="K75" s="309" t="str">
        <f>IF(ISBLANK(IT_Dienstleistungen[[#This Row],[Wert 
(Zahl)]]),"",SUM(IT_Dienstleistungen[[#This Row],[Scope 1 Ergebnis location-based '[kg CO2e']]:[Scope 3 Ergebnis location-based '[kg CO2e']]]))</f>
        <v/>
      </c>
      <c r="L75" s="15" t="str">
        <f>IF(ISBLANK(IT_Dienstleistungen[[#This Row],[Emissionsquelle/Aktivität (Dropdown)]]),"",CONCATENATE(IT_Dienstleistungen[[#This Row],[Sektor_Thema]]," - ",IT_Dienstleistungen[[#This Row],[Emissionsquelle/Aktivität (Dropdown)]]))</f>
        <v/>
      </c>
      <c r="M75" s="10" t="str">
        <f>IFERROR(VLOOKUP(IT_Dienstleistungen[[#This Row],[Thema_Bezeichung]],EFs_IT[],5,FALSE),"")</f>
        <v/>
      </c>
      <c r="N75" s="10" t="str">
        <f>IFERROR(VLOOKUP(IT_Dienstleistungen[[#This Row],[Thema_Bezeichung]],EFs_IT[],6,FALSE),"")</f>
        <v/>
      </c>
      <c r="O75" s="10" t="str">
        <f>IFERROR(VLOOKUP(IT_Dienstleistungen[[#This Row],[Thema_Bezeichung]],EFs_IT[],7,FALSE),"")</f>
        <v/>
      </c>
      <c r="P75" s="10" t="str">
        <f>IFERROR(IT_Dienstleistungen[[#This Row],[Wert 
(Zahl)]]*IT_Dienstleistungen[[#This Row],[Scope 1 Emissionsfaktor '[kg CO2e/Einheit']]],"")</f>
        <v/>
      </c>
      <c r="Q75" s="10" t="str">
        <f>IFERROR(IT_Dienstleistungen[[#This Row],[Wert 
(Zahl)]]*IT_Dienstleistungen[[#This Row],[Scope 2 Emissionsfaktor '[kg CO2e/Einheit']]],"")</f>
        <v/>
      </c>
      <c r="R75" s="10" t="str">
        <f>IFERROR(IT_Dienstleistungen[[#This Row],[Wert 
(Zahl)]]*IT_Dienstleistungen[[#This Row],[Scope 3 Emissionsfaktor '[kg CO2e/Einheit']]],"")</f>
        <v/>
      </c>
    </row>
    <row r="76" spans="1:23" s="92" customFormat="1" x14ac:dyDescent="0.35">
      <c r="B76" s="423"/>
      <c r="C76" s="1" t="str">
        <f t="shared" si="2"/>
        <v>IT_Dienstleistungen</v>
      </c>
      <c r="D76" s="96"/>
      <c r="E76" s="96"/>
      <c r="F76" s="313"/>
      <c r="G76" s="10" t="str">
        <f>IFERROR(VLOOKUP(IT_Dienstleistungen[[#This Row],[Thema_Bezeichung]],Emissionsfaktoren!$C$9:$N$201,4,FALSE),"")</f>
        <v/>
      </c>
      <c r="H76" s="96"/>
      <c r="I76" s="96"/>
      <c r="J76" s="96"/>
      <c r="K76" s="309" t="str">
        <f>IF(ISBLANK(IT_Dienstleistungen[[#This Row],[Wert 
(Zahl)]]),"",SUM(IT_Dienstleistungen[[#This Row],[Scope 1 Ergebnis location-based '[kg CO2e']]:[Scope 3 Ergebnis location-based '[kg CO2e']]]))</f>
        <v/>
      </c>
      <c r="L76" s="15" t="str">
        <f>IF(ISBLANK(IT_Dienstleistungen[[#This Row],[Emissionsquelle/Aktivität (Dropdown)]]),"",CONCATENATE(IT_Dienstleistungen[[#This Row],[Sektor_Thema]]," - ",IT_Dienstleistungen[[#This Row],[Emissionsquelle/Aktivität (Dropdown)]]))</f>
        <v/>
      </c>
      <c r="M76" s="10" t="str">
        <f>IFERROR(VLOOKUP(IT_Dienstleistungen[[#This Row],[Thema_Bezeichung]],EFs_IT[],5,FALSE),"")</f>
        <v/>
      </c>
      <c r="N76" s="10" t="str">
        <f>IFERROR(VLOOKUP(IT_Dienstleistungen[[#This Row],[Thema_Bezeichung]],EFs_IT[],6,FALSE),"")</f>
        <v/>
      </c>
      <c r="O76" s="10" t="str">
        <f>IFERROR(VLOOKUP(IT_Dienstleistungen[[#This Row],[Thema_Bezeichung]],EFs_IT[],7,FALSE),"")</f>
        <v/>
      </c>
      <c r="P76" s="10" t="str">
        <f>IFERROR(IT_Dienstleistungen[[#This Row],[Wert 
(Zahl)]]*IT_Dienstleistungen[[#This Row],[Scope 1 Emissionsfaktor '[kg CO2e/Einheit']]],"")</f>
        <v/>
      </c>
      <c r="Q76" s="10" t="str">
        <f>IFERROR(IT_Dienstleistungen[[#This Row],[Wert 
(Zahl)]]*IT_Dienstleistungen[[#This Row],[Scope 2 Emissionsfaktor '[kg CO2e/Einheit']]],"")</f>
        <v/>
      </c>
      <c r="R76" s="10" t="str">
        <f>IFERROR(IT_Dienstleistungen[[#This Row],[Wert 
(Zahl)]]*IT_Dienstleistungen[[#This Row],[Scope 3 Emissionsfaktor '[kg CO2e/Einheit']]],"")</f>
        <v/>
      </c>
    </row>
    <row r="77" spans="1:23" s="92" customFormat="1" x14ac:dyDescent="0.35">
      <c r="B77" s="423"/>
      <c r="C77" s="1" t="str">
        <f t="shared" si="2"/>
        <v>IT_Dienstleistungen</v>
      </c>
      <c r="D77" s="96"/>
      <c r="E77" s="96"/>
      <c r="F77" s="313"/>
      <c r="G77" s="10" t="str">
        <f>IFERROR(VLOOKUP(IT_Dienstleistungen[[#This Row],[Thema_Bezeichung]],Emissionsfaktoren!$C$9:$N$201,4,FALSE),"")</f>
        <v/>
      </c>
      <c r="H77" s="96"/>
      <c r="I77" s="96"/>
      <c r="J77" s="96"/>
      <c r="K77" s="309" t="str">
        <f>IF(ISBLANK(IT_Dienstleistungen[[#This Row],[Wert 
(Zahl)]]),"",SUM(IT_Dienstleistungen[[#This Row],[Scope 1 Ergebnis location-based '[kg CO2e']]:[Scope 3 Ergebnis location-based '[kg CO2e']]]))</f>
        <v/>
      </c>
      <c r="L77" s="15" t="str">
        <f>IF(ISBLANK(IT_Dienstleistungen[[#This Row],[Emissionsquelle/Aktivität (Dropdown)]]),"",CONCATENATE(IT_Dienstleistungen[[#This Row],[Sektor_Thema]]," - ",IT_Dienstleistungen[[#This Row],[Emissionsquelle/Aktivität (Dropdown)]]))</f>
        <v/>
      </c>
      <c r="M77" s="10" t="str">
        <f>IFERROR(VLOOKUP(IT_Dienstleistungen[[#This Row],[Thema_Bezeichung]],EFs_IT[],5,FALSE),"")</f>
        <v/>
      </c>
      <c r="N77" s="10" t="str">
        <f>IFERROR(VLOOKUP(IT_Dienstleistungen[[#This Row],[Thema_Bezeichung]],EFs_IT[],6,FALSE),"")</f>
        <v/>
      </c>
      <c r="O77" s="10" t="str">
        <f>IFERROR(VLOOKUP(IT_Dienstleistungen[[#This Row],[Thema_Bezeichung]],EFs_IT[],7,FALSE),"")</f>
        <v/>
      </c>
      <c r="P77" s="10" t="str">
        <f>IFERROR(IT_Dienstleistungen[[#This Row],[Wert 
(Zahl)]]*IT_Dienstleistungen[[#This Row],[Scope 1 Emissionsfaktor '[kg CO2e/Einheit']]],"")</f>
        <v/>
      </c>
      <c r="Q77" s="10" t="str">
        <f>IFERROR(IT_Dienstleistungen[[#This Row],[Wert 
(Zahl)]]*IT_Dienstleistungen[[#This Row],[Scope 2 Emissionsfaktor '[kg CO2e/Einheit']]],"")</f>
        <v/>
      </c>
      <c r="R77" s="10" t="str">
        <f>IFERROR(IT_Dienstleistungen[[#This Row],[Wert 
(Zahl)]]*IT_Dienstleistungen[[#This Row],[Scope 3 Emissionsfaktor '[kg CO2e/Einheit']]],"")</f>
        <v/>
      </c>
    </row>
    <row r="78" spans="1:23" s="92" customFormat="1" x14ac:dyDescent="0.35">
      <c r="B78" s="423"/>
      <c r="C78" s="1" t="str">
        <f t="shared" si="2"/>
        <v>IT_Dienstleistungen</v>
      </c>
      <c r="D78" s="96"/>
      <c r="E78" s="96"/>
      <c r="F78" s="313"/>
      <c r="G78" s="10" t="str">
        <f>IFERROR(VLOOKUP(IT_Dienstleistungen[[#This Row],[Thema_Bezeichung]],Emissionsfaktoren!$C$9:$N$201,4,FALSE),"")</f>
        <v/>
      </c>
      <c r="H78" s="96"/>
      <c r="I78" s="96"/>
      <c r="J78" s="96"/>
      <c r="K78" s="309" t="str">
        <f>IF(ISBLANK(IT_Dienstleistungen[[#This Row],[Wert 
(Zahl)]]),"",SUM(IT_Dienstleistungen[[#This Row],[Scope 1 Ergebnis location-based '[kg CO2e']]:[Scope 3 Ergebnis location-based '[kg CO2e']]]))</f>
        <v/>
      </c>
      <c r="L78" s="15" t="str">
        <f>IF(ISBLANK(IT_Dienstleistungen[[#This Row],[Emissionsquelle/Aktivität (Dropdown)]]),"",CONCATENATE(IT_Dienstleistungen[[#This Row],[Sektor_Thema]]," - ",IT_Dienstleistungen[[#This Row],[Emissionsquelle/Aktivität (Dropdown)]]))</f>
        <v/>
      </c>
      <c r="M78" s="10" t="str">
        <f>IFERROR(VLOOKUP(IT_Dienstleistungen[[#This Row],[Thema_Bezeichung]],EFs_IT[],5,FALSE),"")</f>
        <v/>
      </c>
      <c r="N78" s="10" t="str">
        <f>IFERROR(VLOOKUP(IT_Dienstleistungen[[#This Row],[Thema_Bezeichung]],EFs_IT[],6,FALSE),"")</f>
        <v/>
      </c>
      <c r="O78" s="10" t="str">
        <f>IFERROR(VLOOKUP(IT_Dienstleistungen[[#This Row],[Thema_Bezeichung]],EFs_IT[],7,FALSE),"")</f>
        <v/>
      </c>
      <c r="P78" s="10" t="str">
        <f>IFERROR(IT_Dienstleistungen[[#This Row],[Wert 
(Zahl)]]*IT_Dienstleistungen[[#This Row],[Scope 1 Emissionsfaktor '[kg CO2e/Einheit']]],"")</f>
        <v/>
      </c>
      <c r="Q78" s="10" t="str">
        <f>IFERROR(IT_Dienstleistungen[[#This Row],[Wert 
(Zahl)]]*IT_Dienstleistungen[[#This Row],[Scope 2 Emissionsfaktor '[kg CO2e/Einheit']]],"")</f>
        <v/>
      </c>
      <c r="R78" s="10" t="str">
        <f>IFERROR(IT_Dienstleistungen[[#This Row],[Wert 
(Zahl)]]*IT_Dienstleistungen[[#This Row],[Scope 3 Emissionsfaktor '[kg CO2e/Einheit']]],"")</f>
        <v/>
      </c>
    </row>
    <row r="79" spans="1:23" s="92" customFormat="1" x14ac:dyDescent="0.35">
      <c r="B79" s="423"/>
      <c r="C79" s="1" t="str">
        <f t="shared" si="2"/>
        <v>IT_Dienstleistungen</v>
      </c>
      <c r="D79" s="96"/>
      <c r="E79" s="96"/>
      <c r="F79" s="313"/>
      <c r="G79" s="10" t="str">
        <f>IFERROR(VLOOKUP(IT_Dienstleistungen[[#This Row],[Thema_Bezeichung]],Emissionsfaktoren!$C$9:$N$201,4,FALSE),"")</f>
        <v/>
      </c>
      <c r="H79" s="96"/>
      <c r="I79" s="96"/>
      <c r="J79" s="96"/>
      <c r="K79" s="309" t="str">
        <f>IF(ISBLANK(IT_Dienstleistungen[[#This Row],[Wert 
(Zahl)]]),"",SUM(IT_Dienstleistungen[[#This Row],[Scope 1 Ergebnis location-based '[kg CO2e']]:[Scope 3 Ergebnis location-based '[kg CO2e']]]))</f>
        <v/>
      </c>
      <c r="L79" s="15" t="str">
        <f>IF(ISBLANK(IT_Dienstleistungen[[#This Row],[Emissionsquelle/Aktivität (Dropdown)]]),"",CONCATENATE(IT_Dienstleistungen[[#This Row],[Sektor_Thema]]," - ",IT_Dienstleistungen[[#This Row],[Emissionsquelle/Aktivität (Dropdown)]]))</f>
        <v/>
      </c>
      <c r="M79" s="10" t="str">
        <f>IFERROR(VLOOKUP(IT_Dienstleistungen[[#This Row],[Thema_Bezeichung]],EFs_IT[],5,FALSE),"")</f>
        <v/>
      </c>
      <c r="N79" s="10" t="str">
        <f>IFERROR(VLOOKUP(IT_Dienstleistungen[[#This Row],[Thema_Bezeichung]],EFs_IT[],6,FALSE),"")</f>
        <v/>
      </c>
      <c r="O79" s="10" t="str">
        <f>IFERROR(VLOOKUP(IT_Dienstleistungen[[#This Row],[Thema_Bezeichung]],EFs_IT[],7,FALSE),"")</f>
        <v/>
      </c>
      <c r="P79" s="10" t="str">
        <f>IFERROR(IT_Dienstleistungen[[#This Row],[Wert 
(Zahl)]]*IT_Dienstleistungen[[#This Row],[Scope 1 Emissionsfaktor '[kg CO2e/Einheit']]],"")</f>
        <v/>
      </c>
      <c r="Q79" s="10" t="str">
        <f>IFERROR(IT_Dienstleistungen[[#This Row],[Wert 
(Zahl)]]*IT_Dienstleistungen[[#This Row],[Scope 2 Emissionsfaktor '[kg CO2e/Einheit']]],"")</f>
        <v/>
      </c>
      <c r="R79" s="10" t="str">
        <f>IFERROR(IT_Dienstleistungen[[#This Row],[Wert 
(Zahl)]]*IT_Dienstleistungen[[#This Row],[Scope 3 Emissionsfaktor '[kg CO2e/Einheit']]],"")</f>
        <v/>
      </c>
    </row>
    <row r="80" spans="1:23" s="92" customFormat="1" x14ac:dyDescent="0.35">
      <c r="B80" s="423"/>
      <c r="C80" s="1" t="str">
        <f t="shared" si="2"/>
        <v>IT_Dienstleistungen</v>
      </c>
      <c r="D80" s="96"/>
      <c r="E80" s="96"/>
      <c r="F80" s="313"/>
      <c r="G80" s="10" t="str">
        <f>IFERROR(VLOOKUP(IT_Dienstleistungen[[#This Row],[Thema_Bezeichung]],Emissionsfaktoren!$C$9:$N$201,4,FALSE),"")</f>
        <v/>
      </c>
      <c r="H80" s="96"/>
      <c r="I80" s="96"/>
      <c r="J80" s="96"/>
      <c r="K80" s="309" t="str">
        <f>IF(ISBLANK(IT_Dienstleistungen[[#This Row],[Wert 
(Zahl)]]),"",SUM(IT_Dienstleistungen[[#This Row],[Scope 1 Ergebnis location-based '[kg CO2e']]:[Scope 3 Ergebnis location-based '[kg CO2e']]]))</f>
        <v/>
      </c>
      <c r="L80" s="15" t="str">
        <f>IF(ISBLANK(IT_Dienstleistungen[[#This Row],[Emissionsquelle/Aktivität (Dropdown)]]),"",CONCATENATE(IT_Dienstleistungen[[#This Row],[Sektor_Thema]]," - ",IT_Dienstleistungen[[#This Row],[Emissionsquelle/Aktivität (Dropdown)]]))</f>
        <v/>
      </c>
      <c r="M80" s="10" t="str">
        <f>IFERROR(VLOOKUP(IT_Dienstleistungen[[#This Row],[Thema_Bezeichung]],EFs_IT[],5,FALSE),"")</f>
        <v/>
      </c>
      <c r="N80" s="10" t="str">
        <f>IFERROR(VLOOKUP(IT_Dienstleistungen[[#This Row],[Thema_Bezeichung]],EFs_IT[],6,FALSE),"")</f>
        <v/>
      </c>
      <c r="O80" s="10" t="str">
        <f>IFERROR(VLOOKUP(IT_Dienstleistungen[[#This Row],[Thema_Bezeichung]],EFs_IT[],7,FALSE),"")</f>
        <v/>
      </c>
      <c r="P80" s="10" t="str">
        <f>IFERROR(IT_Dienstleistungen[[#This Row],[Wert 
(Zahl)]]*IT_Dienstleistungen[[#This Row],[Scope 1 Emissionsfaktor '[kg CO2e/Einheit']]],"")</f>
        <v/>
      </c>
      <c r="Q80" s="10" t="str">
        <f>IFERROR(IT_Dienstleistungen[[#This Row],[Wert 
(Zahl)]]*IT_Dienstleistungen[[#This Row],[Scope 2 Emissionsfaktor '[kg CO2e/Einheit']]],"")</f>
        <v/>
      </c>
      <c r="R80" s="10" t="str">
        <f>IFERROR(IT_Dienstleistungen[[#This Row],[Wert 
(Zahl)]]*IT_Dienstleistungen[[#This Row],[Scope 3 Emissionsfaktor '[kg CO2e/Einheit']]],"")</f>
        <v/>
      </c>
    </row>
    <row r="81" spans="2:31" s="92" customFormat="1" x14ac:dyDescent="0.35">
      <c r="B81" s="423"/>
      <c r="C81" s="1" t="str">
        <f t="shared" si="2"/>
        <v>IT_Dienstleistungen</v>
      </c>
      <c r="D81" s="96"/>
      <c r="E81" s="96"/>
      <c r="F81" s="313"/>
      <c r="G81" s="10" t="str">
        <f>IFERROR(VLOOKUP(IT_Dienstleistungen[[#This Row],[Thema_Bezeichung]],Emissionsfaktoren!$C$9:$N$201,4,FALSE),"")</f>
        <v/>
      </c>
      <c r="H81" s="96"/>
      <c r="I81" s="96"/>
      <c r="J81" s="96"/>
      <c r="K81" s="309" t="str">
        <f>IF(ISBLANK(IT_Dienstleistungen[[#This Row],[Wert 
(Zahl)]]),"",SUM(IT_Dienstleistungen[[#This Row],[Scope 1 Ergebnis location-based '[kg CO2e']]:[Scope 3 Ergebnis location-based '[kg CO2e']]]))</f>
        <v/>
      </c>
      <c r="L81" s="15" t="str">
        <f>IF(ISBLANK(IT_Dienstleistungen[[#This Row],[Emissionsquelle/Aktivität (Dropdown)]]),"",CONCATENATE(IT_Dienstleistungen[[#This Row],[Sektor_Thema]]," - ",IT_Dienstleistungen[[#This Row],[Emissionsquelle/Aktivität (Dropdown)]]))</f>
        <v/>
      </c>
      <c r="M81" s="10" t="str">
        <f>IFERROR(VLOOKUP(IT_Dienstleistungen[[#This Row],[Thema_Bezeichung]],EFs_IT[],5,FALSE),"")</f>
        <v/>
      </c>
      <c r="N81" s="10" t="str">
        <f>IFERROR(VLOOKUP(IT_Dienstleistungen[[#This Row],[Thema_Bezeichung]],EFs_IT[],6,FALSE),"")</f>
        <v/>
      </c>
      <c r="O81" s="10" t="str">
        <f>IFERROR(VLOOKUP(IT_Dienstleistungen[[#This Row],[Thema_Bezeichung]],EFs_IT[],7,FALSE),"")</f>
        <v/>
      </c>
      <c r="P81" s="10" t="str">
        <f>IFERROR(IT_Dienstleistungen[[#This Row],[Wert 
(Zahl)]]*IT_Dienstleistungen[[#This Row],[Scope 1 Emissionsfaktor '[kg CO2e/Einheit']]],"")</f>
        <v/>
      </c>
      <c r="Q81" s="10" t="str">
        <f>IFERROR(IT_Dienstleistungen[[#This Row],[Wert 
(Zahl)]]*IT_Dienstleistungen[[#This Row],[Scope 2 Emissionsfaktor '[kg CO2e/Einheit']]],"")</f>
        <v/>
      </c>
      <c r="R81" s="10" t="str">
        <f>IFERROR(IT_Dienstleistungen[[#This Row],[Wert 
(Zahl)]]*IT_Dienstleistungen[[#This Row],[Scope 3 Emissionsfaktor '[kg CO2e/Einheit']]],"")</f>
        <v/>
      </c>
    </row>
    <row r="82" spans="2:31" s="92" customFormat="1" x14ac:dyDescent="0.35">
      <c r="B82" s="423"/>
      <c r="C82" s="1" t="str">
        <f t="shared" si="2"/>
        <v>IT_Dienstleistungen</v>
      </c>
      <c r="D82" s="96"/>
      <c r="E82" s="96"/>
      <c r="F82" s="313"/>
      <c r="G82" s="10" t="str">
        <f>IFERROR(VLOOKUP(IT_Dienstleistungen[[#This Row],[Thema_Bezeichung]],Emissionsfaktoren!$C$9:$N$201,4,FALSE),"")</f>
        <v/>
      </c>
      <c r="H82" s="96"/>
      <c r="I82" s="96"/>
      <c r="J82" s="96"/>
      <c r="K82" s="309" t="str">
        <f>IF(ISBLANK(IT_Dienstleistungen[[#This Row],[Wert 
(Zahl)]]),"",SUM(IT_Dienstleistungen[[#This Row],[Scope 1 Ergebnis location-based '[kg CO2e']]:[Scope 3 Ergebnis location-based '[kg CO2e']]]))</f>
        <v/>
      </c>
      <c r="L82" s="15" t="str">
        <f>IF(ISBLANK(IT_Dienstleistungen[[#This Row],[Emissionsquelle/Aktivität (Dropdown)]]),"",CONCATENATE(IT_Dienstleistungen[[#This Row],[Sektor_Thema]]," - ",IT_Dienstleistungen[[#This Row],[Emissionsquelle/Aktivität (Dropdown)]]))</f>
        <v/>
      </c>
      <c r="M82" s="10" t="str">
        <f>IFERROR(VLOOKUP(IT_Dienstleistungen[[#This Row],[Thema_Bezeichung]],EFs_IT[],5,FALSE),"")</f>
        <v/>
      </c>
      <c r="N82" s="10" t="str">
        <f>IFERROR(VLOOKUP(IT_Dienstleistungen[[#This Row],[Thema_Bezeichung]],EFs_IT[],6,FALSE),"")</f>
        <v/>
      </c>
      <c r="O82" s="10" t="str">
        <f>IFERROR(VLOOKUP(IT_Dienstleistungen[[#This Row],[Thema_Bezeichung]],EFs_IT[],7,FALSE),"")</f>
        <v/>
      </c>
      <c r="P82" s="10" t="str">
        <f>IFERROR(IT_Dienstleistungen[[#This Row],[Wert 
(Zahl)]]*IT_Dienstleistungen[[#This Row],[Scope 1 Emissionsfaktor '[kg CO2e/Einheit']]],"")</f>
        <v/>
      </c>
      <c r="Q82" s="10" t="str">
        <f>IFERROR(IT_Dienstleistungen[[#This Row],[Wert 
(Zahl)]]*IT_Dienstleistungen[[#This Row],[Scope 2 Emissionsfaktor '[kg CO2e/Einheit']]],"")</f>
        <v/>
      </c>
      <c r="R82" s="10" t="str">
        <f>IFERROR(IT_Dienstleistungen[[#This Row],[Wert 
(Zahl)]]*IT_Dienstleistungen[[#This Row],[Scope 3 Emissionsfaktor '[kg CO2e/Einheit']]],"")</f>
        <v/>
      </c>
    </row>
    <row r="83" spans="2:31" s="92" customFormat="1" x14ac:dyDescent="0.35">
      <c r="B83" s="423"/>
      <c r="C83" s="1" t="str">
        <f t="shared" si="2"/>
        <v>IT_Dienstleistungen</v>
      </c>
      <c r="D83" s="96"/>
      <c r="E83" s="96"/>
      <c r="F83" s="313"/>
      <c r="G83" s="10" t="str">
        <f>IFERROR(VLOOKUP(IT_Dienstleistungen[[#This Row],[Thema_Bezeichung]],Emissionsfaktoren!$C$9:$N$201,4,FALSE),"")</f>
        <v/>
      </c>
      <c r="H83" s="96"/>
      <c r="I83" s="96"/>
      <c r="J83" s="96"/>
      <c r="K83" s="309" t="str">
        <f>IF(ISBLANK(IT_Dienstleistungen[[#This Row],[Wert 
(Zahl)]]),"",SUM(IT_Dienstleistungen[[#This Row],[Scope 1 Ergebnis location-based '[kg CO2e']]:[Scope 3 Ergebnis location-based '[kg CO2e']]]))</f>
        <v/>
      </c>
      <c r="L83" s="15" t="str">
        <f>IF(ISBLANK(IT_Dienstleistungen[[#This Row],[Emissionsquelle/Aktivität (Dropdown)]]),"",CONCATENATE(IT_Dienstleistungen[[#This Row],[Sektor_Thema]]," - ",IT_Dienstleistungen[[#This Row],[Emissionsquelle/Aktivität (Dropdown)]]))</f>
        <v/>
      </c>
      <c r="M83" s="10" t="str">
        <f>IFERROR(VLOOKUP(IT_Dienstleistungen[[#This Row],[Thema_Bezeichung]],EFs_IT[],5,FALSE),"")</f>
        <v/>
      </c>
      <c r="N83" s="10" t="str">
        <f>IFERROR(VLOOKUP(IT_Dienstleistungen[[#This Row],[Thema_Bezeichung]],EFs_IT[],6,FALSE),"")</f>
        <v/>
      </c>
      <c r="O83" s="10" t="str">
        <f>IFERROR(VLOOKUP(IT_Dienstleistungen[[#This Row],[Thema_Bezeichung]],EFs_IT[],7,FALSE),"")</f>
        <v/>
      </c>
      <c r="P83" s="10" t="str">
        <f>IFERROR(IT_Dienstleistungen[[#This Row],[Wert 
(Zahl)]]*IT_Dienstleistungen[[#This Row],[Scope 1 Emissionsfaktor '[kg CO2e/Einheit']]],"")</f>
        <v/>
      </c>
      <c r="Q83" s="10" t="str">
        <f>IFERROR(IT_Dienstleistungen[[#This Row],[Wert 
(Zahl)]]*IT_Dienstleistungen[[#This Row],[Scope 2 Emissionsfaktor '[kg CO2e/Einheit']]],"")</f>
        <v/>
      </c>
      <c r="R83" s="10" t="str">
        <f>IFERROR(IT_Dienstleistungen[[#This Row],[Wert 
(Zahl)]]*IT_Dienstleistungen[[#This Row],[Scope 3 Emissionsfaktor '[kg CO2e/Einheit']]],"")</f>
        <v/>
      </c>
    </row>
    <row r="84" spans="2:31" s="92" customFormat="1" x14ac:dyDescent="0.35">
      <c r="B84" s="423"/>
      <c r="C84" s="1" t="str">
        <f t="shared" si="2"/>
        <v>IT_Dienstleistungen</v>
      </c>
      <c r="D84" s="96"/>
      <c r="E84" s="96"/>
      <c r="F84" s="313"/>
      <c r="G84" s="10" t="str">
        <f>IFERROR(VLOOKUP(IT_Dienstleistungen[[#This Row],[Thema_Bezeichung]],Emissionsfaktoren!$C$9:$N$201,4,FALSE),"")</f>
        <v/>
      </c>
      <c r="H84" s="96"/>
      <c r="I84" s="96"/>
      <c r="J84" s="96"/>
      <c r="K84" s="309" t="str">
        <f>IF(ISBLANK(IT_Dienstleistungen[[#This Row],[Wert 
(Zahl)]]),"",SUM(IT_Dienstleistungen[[#This Row],[Scope 1 Ergebnis location-based '[kg CO2e']]:[Scope 3 Ergebnis location-based '[kg CO2e']]]))</f>
        <v/>
      </c>
      <c r="L84" s="15" t="str">
        <f>IF(ISBLANK(IT_Dienstleistungen[[#This Row],[Emissionsquelle/Aktivität (Dropdown)]]),"",CONCATENATE(IT_Dienstleistungen[[#This Row],[Sektor_Thema]]," - ",IT_Dienstleistungen[[#This Row],[Emissionsquelle/Aktivität (Dropdown)]]))</f>
        <v/>
      </c>
      <c r="M84" s="10" t="str">
        <f>IFERROR(VLOOKUP(IT_Dienstleistungen[[#This Row],[Thema_Bezeichung]],EFs_IT[],5,FALSE),"")</f>
        <v/>
      </c>
      <c r="N84" s="10" t="str">
        <f>IFERROR(VLOOKUP(IT_Dienstleistungen[[#This Row],[Thema_Bezeichung]],EFs_IT[],6,FALSE),"")</f>
        <v/>
      </c>
      <c r="O84" s="10" t="str">
        <f>IFERROR(VLOOKUP(IT_Dienstleistungen[[#This Row],[Thema_Bezeichung]],EFs_IT[],7,FALSE),"")</f>
        <v/>
      </c>
      <c r="P84" s="10" t="str">
        <f>IFERROR(IT_Dienstleistungen[[#This Row],[Wert 
(Zahl)]]*IT_Dienstleistungen[[#This Row],[Scope 1 Emissionsfaktor '[kg CO2e/Einheit']]],"")</f>
        <v/>
      </c>
      <c r="Q84" s="10" t="str">
        <f>IFERROR(IT_Dienstleistungen[[#This Row],[Wert 
(Zahl)]]*IT_Dienstleistungen[[#This Row],[Scope 2 Emissionsfaktor '[kg CO2e/Einheit']]],"")</f>
        <v/>
      </c>
      <c r="R84" s="10" t="str">
        <f>IFERROR(IT_Dienstleistungen[[#This Row],[Wert 
(Zahl)]]*IT_Dienstleistungen[[#This Row],[Scope 3 Emissionsfaktor '[kg CO2e/Einheit']]],"")</f>
        <v/>
      </c>
    </row>
    <row r="85" spans="2:31" s="92" customFormat="1" x14ac:dyDescent="0.35">
      <c r="B85" s="423"/>
      <c r="C85" s="1" t="str">
        <f t="shared" si="2"/>
        <v>IT_Dienstleistungen</v>
      </c>
      <c r="D85" s="96"/>
      <c r="E85" s="96"/>
      <c r="F85" s="313"/>
      <c r="G85" s="10" t="str">
        <f>IFERROR(VLOOKUP(IT_Dienstleistungen[[#This Row],[Thema_Bezeichung]],Emissionsfaktoren!$C$9:$N$201,4,FALSE),"")</f>
        <v/>
      </c>
      <c r="H85" s="96"/>
      <c r="I85" s="96"/>
      <c r="J85" s="96"/>
      <c r="K85" s="309" t="str">
        <f>IF(ISBLANK(IT_Dienstleistungen[[#This Row],[Wert 
(Zahl)]]),"",SUM(IT_Dienstleistungen[[#This Row],[Scope 1 Ergebnis location-based '[kg CO2e']]:[Scope 3 Ergebnis location-based '[kg CO2e']]]))</f>
        <v/>
      </c>
      <c r="L85" s="15" t="str">
        <f>IF(ISBLANK(IT_Dienstleistungen[[#This Row],[Emissionsquelle/Aktivität (Dropdown)]]),"",CONCATENATE(IT_Dienstleistungen[[#This Row],[Sektor_Thema]]," - ",IT_Dienstleistungen[[#This Row],[Emissionsquelle/Aktivität (Dropdown)]]))</f>
        <v/>
      </c>
      <c r="M85" s="10" t="str">
        <f>IFERROR(VLOOKUP(IT_Dienstleistungen[[#This Row],[Thema_Bezeichung]],EFs_IT[],5,FALSE),"")</f>
        <v/>
      </c>
      <c r="N85" s="10" t="str">
        <f>IFERROR(VLOOKUP(IT_Dienstleistungen[[#This Row],[Thema_Bezeichung]],EFs_IT[],6,FALSE),"")</f>
        <v/>
      </c>
      <c r="O85" s="10" t="str">
        <f>IFERROR(VLOOKUP(IT_Dienstleistungen[[#This Row],[Thema_Bezeichung]],EFs_IT[],7,FALSE),"")</f>
        <v/>
      </c>
      <c r="P85" s="10" t="str">
        <f>IFERROR(IT_Dienstleistungen[[#This Row],[Wert 
(Zahl)]]*IT_Dienstleistungen[[#This Row],[Scope 1 Emissionsfaktor '[kg CO2e/Einheit']]],"")</f>
        <v/>
      </c>
      <c r="Q85" s="10" t="str">
        <f>IFERROR(IT_Dienstleistungen[[#This Row],[Wert 
(Zahl)]]*IT_Dienstleistungen[[#This Row],[Scope 2 Emissionsfaktor '[kg CO2e/Einheit']]],"")</f>
        <v/>
      </c>
      <c r="R85" s="10" t="str">
        <f>IFERROR(IT_Dienstleistungen[[#This Row],[Wert 
(Zahl)]]*IT_Dienstleistungen[[#This Row],[Scope 3 Emissionsfaktor '[kg CO2e/Einheit']]],"")</f>
        <v/>
      </c>
    </row>
    <row r="86" spans="2:31" s="92" customFormat="1" x14ac:dyDescent="0.35">
      <c r="B86" s="423"/>
      <c r="C86" s="1" t="str">
        <f t="shared" si="2"/>
        <v>IT_Dienstleistungen</v>
      </c>
      <c r="D86" s="96"/>
      <c r="E86" s="96"/>
      <c r="F86" s="313"/>
      <c r="G86" s="10" t="str">
        <f>IFERROR(VLOOKUP(IT_Dienstleistungen[[#This Row],[Thema_Bezeichung]],Emissionsfaktoren!$C$9:$N$201,4,FALSE),"")</f>
        <v/>
      </c>
      <c r="H86" s="96"/>
      <c r="I86" s="96"/>
      <c r="J86" s="96"/>
      <c r="K86" s="309" t="str">
        <f>IF(ISBLANK(IT_Dienstleistungen[[#This Row],[Wert 
(Zahl)]]),"",SUM(IT_Dienstleistungen[[#This Row],[Scope 1 Ergebnis location-based '[kg CO2e']]:[Scope 3 Ergebnis location-based '[kg CO2e']]]))</f>
        <v/>
      </c>
      <c r="L86" s="15" t="str">
        <f>IF(ISBLANK(IT_Dienstleistungen[[#This Row],[Emissionsquelle/Aktivität (Dropdown)]]),"",CONCATENATE(IT_Dienstleistungen[[#This Row],[Sektor_Thema]]," - ",IT_Dienstleistungen[[#This Row],[Emissionsquelle/Aktivität (Dropdown)]]))</f>
        <v/>
      </c>
      <c r="M86" s="10" t="str">
        <f>IFERROR(VLOOKUP(IT_Dienstleistungen[[#This Row],[Thema_Bezeichung]],EFs_IT[],5,FALSE),"")</f>
        <v/>
      </c>
      <c r="N86" s="10" t="str">
        <f>IFERROR(VLOOKUP(IT_Dienstleistungen[[#This Row],[Thema_Bezeichung]],EFs_IT[],6,FALSE),"")</f>
        <v/>
      </c>
      <c r="O86" s="10" t="str">
        <f>IFERROR(VLOOKUP(IT_Dienstleistungen[[#This Row],[Thema_Bezeichung]],EFs_IT[],7,FALSE),"")</f>
        <v/>
      </c>
      <c r="P86" s="10" t="str">
        <f>IFERROR(IT_Dienstleistungen[[#This Row],[Wert 
(Zahl)]]*IT_Dienstleistungen[[#This Row],[Scope 1 Emissionsfaktor '[kg CO2e/Einheit']]],"")</f>
        <v/>
      </c>
      <c r="Q86" s="10" t="str">
        <f>IFERROR(IT_Dienstleistungen[[#This Row],[Wert 
(Zahl)]]*IT_Dienstleistungen[[#This Row],[Scope 2 Emissionsfaktor '[kg CO2e/Einheit']]],"")</f>
        <v/>
      </c>
      <c r="R86" s="10" t="str">
        <f>IFERROR(IT_Dienstleistungen[[#This Row],[Wert 
(Zahl)]]*IT_Dienstleistungen[[#This Row],[Scope 3 Emissionsfaktor '[kg CO2e/Einheit']]],"")</f>
        <v/>
      </c>
    </row>
    <row r="87" spans="2:31" s="92" customFormat="1" x14ac:dyDescent="0.35">
      <c r="B87" s="423"/>
      <c r="C87" s="1" t="str">
        <f t="shared" si="2"/>
        <v>IT_Dienstleistungen</v>
      </c>
      <c r="D87" s="96"/>
      <c r="E87" s="96"/>
      <c r="F87" s="313"/>
      <c r="G87" s="10" t="str">
        <f>IFERROR(VLOOKUP(IT_Dienstleistungen[[#This Row],[Thema_Bezeichung]],Emissionsfaktoren!$C$9:$N$201,4,FALSE),"")</f>
        <v/>
      </c>
      <c r="H87" s="96"/>
      <c r="I87" s="96"/>
      <c r="J87" s="96"/>
      <c r="K87" s="309" t="str">
        <f>IF(ISBLANK(IT_Dienstleistungen[[#This Row],[Wert 
(Zahl)]]),"",SUM(IT_Dienstleistungen[[#This Row],[Scope 1 Ergebnis location-based '[kg CO2e']]:[Scope 3 Ergebnis location-based '[kg CO2e']]]))</f>
        <v/>
      </c>
      <c r="L87" s="15" t="str">
        <f>IF(ISBLANK(IT_Dienstleistungen[[#This Row],[Emissionsquelle/Aktivität (Dropdown)]]),"",CONCATENATE(IT_Dienstleistungen[[#This Row],[Sektor_Thema]]," - ",IT_Dienstleistungen[[#This Row],[Emissionsquelle/Aktivität (Dropdown)]]))</f>
        <v/>
      </c>
      <c r="M87" s="10" t="str">
        <f>IFERROR(VLOOKUP(IT_Dienstleistungen[[#This Row],[Thema_Bezeichung]],EFs_IT[],5,FALSE),"")</f>
        <v/>
      </c>
      <c r="N87" s="10" t="str">
        <f>IFERROR(VLOOKUP(IT_Dienstleistungen[[#This Row],[Thema_Bezeichung]],EFs_IT[],6,FALSE),"")</f>
        <v/>
      </c>
      <c r="O87" s="10" t="str">
        <f>IFERROR(VLOOKUP(IT_Dienstleistungen[[#This Row],[Thema_Bezeichung]],EFs_IT[],7,FALSE),"")</f>
        <v/>
      </c>
      <c r="P87" s="10" t="str">
        <f>IFERROR(IT_Dienstleistungen[[#This Row],[Wert 
(Zahl)]]*IT_Dienstleistungen[[#This Row],[Scope 1 Emissionsfaktor '[kg CO2e/Einheit']]],"")</f>
        <v/>
      </c>
      <c r="Q87" s="10" t="str">
        <f>IFERROR(IT_Dienstleistungen[[#This Row],[Wert 
(Zahl)]]*IT_Dienstleistungen[[#This Row],[Scope 2 Emissionsfaktor '[kg CO2e/Einheit']]],"")</f>
        <v/>
      </c>
      <c r="R87" s="10" t="str">
        <f>IFERROR(IT_Dienstleistungen[[#This Row],[Wert 
(Zahl)]]*IT_Dienstleistungen[[#This Row],[Scope 3 Emissionsfaktor '[kg CO2e/Einheit']]],"")</f>
        <v/>
      </c>
    </row>
    <row r="88" spans="2:31" s="92" customFormat="1" x14ac:dyDescent="0.35">
      <c r="B88" s="423"/>
      <c r="C88" s="1" t="str">
        <f t="shared" si="2"/>
        <v>IT_Dienstleistungen</v>
      </c>
      <c r="D88" s="96"/>
      <c r="E88" s="96"/>
      <c r="F88" s="313"/>
      <c r="G88" s="10" t="str">
        <f>IFERROR(VLOOKUP(IT_Dienstleistungen[[#This Row],[Thema_Bezeichung]],Emissionsfaktoren!$C$9:$N$201,4,FALSE),"")</f>
        <v/>
      </c>
      <c r="H88" s="96"/>
      <c r="I88" s="96"/>
      <c r="J88" s="96"/>
      <c r="K88" s="309" t="str">
        <f>IF(ISBLANK(IT_Dienstleistungen[[#This Row],[Wert 
(Zahl)]]),"",SUM(IT_Dienstleistungen[[#This Row],[Scope 1 Ergebnis location-based '[kg CO2e']]:[Scope 3 Ergebnis location-based '[kg CO2e']]]))</f>
        <v/>
      </c>
      <c r="L88" s="15" t="str">
        <f>IF(ISBLANK(IT_Dienstleistungen[[#This Row],[Emissionsquelle/Aktivität (Dropdown)]]),"",CONCATENATE(IT_Dienstleistungen[[#This Row],[Sektor_Thema]]," - ",IT_Dienstleistungen[[#This Row],[Emissionsquelle/Aktivität (Dropdown)]]))</f>
        <v/>
      </c>
      <c r="M88" s="10" t="str">
        <f>IFERROR(VLOOKUP(IT_Dienstleistungen[[#This Row],[Thema_Bezeichung]],EFs_IT[],5,FALSE),"")</f>
        <v/>
      </c>
      <c r="N88" s="10" t="str">
        <f>IFERROR(VLOOKUP(IT_Dienstleistungen[[#This Row],[Thema_Bezeichung]],EFs_IT[],6,FALSE),"")</f>
        <v/>
      </c>
      <c r="O88" s="10" t="str">
        <f>IFERROR(VLOOKUP(IT_Dienstleistungen[[#This Row],[Thema_Bezeichung]],EFs_IT[],7,FALSE),"")</f>
        <v/>
      </c>
      <c r="P88" s="10" t="str">
        <f>IFERROR(IT_Dienstleistungen[[#This Row],[Wert 
(Zahl)]]*IT_Dienstleistungen[[#This Row],[Scope 1 Emissionsfaktor '[kg CO2e/Einheit']]],"")</f>
        <v/>
      </c>
      <c r="Q88" s="10" t="str">
        <f>IFERROR(IT_Dienstleistungen[[#This Row],[Wert 
(Zahl)]]*IT_Dienstleistungen[[#This Row],[Scope 2 Emissionsfaktor '[kg CO2e/Einheit']]],"")</f>
        <v/>
      </c>
      <c r="R88" s="10" t="str">
        <f>IFERROR(IT_Dienstleistungen[[#This Row],[Wert 
(Zahl)]]*IT_Dienstleistungen[[#This Row],[Scope 3 Emissionsfaktor '[kg CO2e/Einheit']]],"")</f>
        <v/>
      </c>
    </row>
    <row r="89" spans="2:31" s="92" customFormat="1" x14ac:dyDescent="0.35">
      <c r="B89" s="423"/>
      <c r="C89" s="1" t="str">
        <f t="shared" si="2"/>
        <v>IT_Dienstleistungen</v>
      </c>
      <c r="D89" s="96"/>
      <c r="E89" s="96"/>
      <c r="F89" s="313"/>
      <c r="G89" s="10" t="str">
        <f>IFERROR(VLOOKUP(IT_Dienstleistungen[[#This Row],[Thema_Bezeichung]],Emissionsfaktoren!$C$9:$N$201,4,FALSE),"")</f>
        <v/>
      </c>
      <c r="H89" s="96"/>
      <c r="I89" s="96"/>
      <c r="J89" s="96"/>
      <c r="K89" s="309" t="str">
        <f>IF(ISBLANK(IT_Dienstleistungen[[#This Row],[Wert 
(Zahl)]]),"",SUM(IT_Dienstleistungen[[#This Row],[Scope 1 Ergebnis location-based '[kg CO2e']]:[Scope 3 Ergebnis location-based '[kg CO2e']]]))</f>
        <v/>
      </c>
      <c r="L89" s="15" t="str">
        <f>IF(ISBLANK(IT_Dienstleistungen[[#This Row],[Emissionsquelle/Aktivität (Dropdown)]]),"",CONCATENATE(IT_Dienstleistungen[[#This Row],[Sektor_Thema]]," - ",IT_Dienstleistungen[[#This Row],[Emissionsquelle/Aktivität (Dropdown)]]))</f>
        <v/>
      </c>
      <c r="M89" s="10" t="str">
        <f>IFERROR(VLOOKUP(IT_Dienstleistungen[[#This Row],[Thema_Bezeichung]],EFs_IT[],5,FALSE),"")</f>
        <v/>
      </c>
      <c r="N89" s="10" t="str">
        <f>IFERROR(VLOOKUP(IT_Dienstleistungen[[#This Row],[Thema_Bezeichung]],EFs_IT[],6,FALSE),"")</f>
        <v/>
      </c>
      <c r="O89" s="10" t="str">
        <f>IFERROR(VLOOKUP(IT_Dienstleistungen[[#This Row],[Thema_Bezeichung]],EFs_IT[],7,FALSE),"")</f>
        <v/>
      </c>
      <c r="P89" s="10" t="str">
        <f>IFERROR(IT_Dienstleistungen[[#This Row],[Wert 
(Zahl)]]*IT_Dienstleistungen[[#This Row],[Scope 1 Emissionsfaktor '[kg CO2e/Einheit']]],"")</f>
        <v/>
      </c>
      <c r="Q89" s="10" t="str">
        <f>IFERROR(IT_Dienstleistungen[[#This Row],[Wert 
(Zahl)]]*IT_Dienstleistungen[[#This Row],[Scope 2 Emissionsfaktor '[kg CO2e/Einheit']]],"")</f>
        <v/>
      </c>
      <c r="R89" s="10" t="str">
        <f>IFERROR(IT_Dienstleistungen[[#This Row],[Wert 
(Zahl)]]*IT_Dienstleistungen[[#This Row],[Scope 3 Emissionsfaktor '[kg CO2e/Einheit']]],"")</f>
        <v/>
      </c>
    </row>
    <row r="90" spans="2:31" s="92" customFormat="1" x14ac:dyDescent="0.35">
      <c r="B90" s="423"/>
      <c r="C90" s="1" t="str">
        <f t="shared" si="2"/>
        <v>IT_Dienstleistungen</v>
      </c>
      <c r="D90" s="96"/>
      <c r="E90" s="96"/>
      <c r="F90" s="313"/>
      <c r="G90" s="10" t="str">
        <f>IFERROR(VLOOKUP(IT_Dienstleistungen[[#This Row],[Thema_Bezeichung]],Emissionsfaktoren!$C$9:$N$201,4,FALSE),"")</f>
        <v/>
      </c>
      <c r="H90" s="96"/>
      <c r="I90" s="96"/>
      <c r="J90" s="96"/>
      <c r="K90" s="309" t="str">
        <f>IF(ISBLANK(IT_Dienstleistungen[[#This Row],[Wert 
(Zahl)]]),"",SUM(IT_Dienstleistungen[[#This Row],[Scope 1 Ergebnis location-based '[kg CO2e']]:[Scope 3 Ergebnis location-based '[kg CO2e']]]))</f>
        <v/>
      </c>
      <c r="L90" s="15" t="str">
        <f>IF(ISBLANK(IT_Dienstleistungen[[#This Row],[Emissionsquelle/Aktivität (Dropdown)]]),"",CONCATENATE(IT_Dienstleistungen[[#This Row],[Sektor_Thema]]," - ",IT_Dienstleistungen[[#This Row],[Emissionsquelle/Aktivität (Dropdown)]]))</f>
        <v/>
      </c>
      <c r="M90" s="10" t="str">
        <f>IFERROR(VLOOKUP(IT_Dienstleistungen[[#This Row],[Thema_Bezeichung]],EFs_IT[],5,FALSE),"")</f>
        <v/>
      </c>
      <c r="N90" s="10" t="str">
        <f>IFERROR(VLOOKUP(IT_Dienstleistungen[[#This Row],[Thema_Bezeichung]],EFs_IT[],6,FALSE),"")</f>
        <v/>
      </c>
      <c r="O90" s="10" t="str">
        <f>IFERROR(VLOOKUP(IT_Dienstleistungen[[#This Row],[Thema_Bezeichung]],EFs_IT[],7,FALSE),"")</f>
        <v/>
      </c>
      <c r="P90" s="10" t="str">
        <f>IFERROR(IT_Dienstleistungen[[#This Row],[Wert 
(Zahl)]]*IT_Dienstleistungen[[#This Row],[Scope 1 Emissionsfaktor '[kg CO2e/Einheit']]],"")</f>
        <v/>
      </c>
      <c r="Q90" s="10" t="str">
        <f>IFERROR(IT_Dienstleistungen[[#This Row],[Wert 
(Zahl)]]*IT_Dienstleistungen[[#This Row],[Scope 2 Emissionsfaktor '[kg CO2e/Einheit']]],"")</f>
        <v/>
      </c>
      <c r="R90" s="10" t="str">
        <f>IFERROR(IT_Dienstleistungen[[#This Row],[Wert 
(Zahl)]]*IT_Dienstleistungen[[#This Row],[Scope 3 Emissionsfaktor '[kg CO2e/Einheit']]],"")</f>
        <v/>
      </c>
    </row>
    <row r="91" spans="2:31" s="92" customFormat="1" x14ac:dyDescent="0.35">
      <c r="B91" s="423"/>
      <c r="C91" s="1" t="str">
        <f t="shared" si="2"/>
        <v>IT_Dienstleistungen</v>
      </c>
      <c r="D91" s="96"/>
      <c r="E91" s="96"/>
      <c r="F91" s="313"/>
      <c r="G91" s="10" t="str">
        <f>IFERROR(VLOOKUP(IT_Dienstleistungen[[#This Row],[Thema_Bezeichung]],Emissionsfaktoren!$C$9:$N$201,4,FALSE),"")</f>
        <v/>
      </c>
      <c r="H91" s="96"/>
      <c r="I91" s="96"/>
      <c r="J91" s="96"/>
      <c r="K91" s="309" t="str">
        <f>IF(ISBLANK(IT_Dienstleistungen[[#This Row],[Wert 
(Zahl)]]),"",SUM(IT_Dienstleistungen[[#This Row],[Scope 1 Ergebnis location-based '[kg CO2e']]:[Scope 3 Ergebnis location-based '[kg CO2e']]]))</f>
        <v/>
      </c>
      <c r="L91" s="15" t="str">
        <f>IF(ISBLANK(IT_Dienstleistungen[[#This Row],[Emissionsquelle/Aktivität (Dropdown)]]),"",CONCATENATE(IT_Dienstleistungen[[#This Row],[Sektor_Thema]]," - ",IT_Dienstleistungen[[#This Row],[Emissionsquelle/Aktivität (Dropdown)]]))</f>
        <v/>
      </c>
      <c r="M91" s="10" t="str">
        <f>IFERROR(VLOOKUP(IT_Dienstleistungen[[#This Row],[Thema_Bezeichung]],EFs_IT[],5,FALSE),"")</f>
        <v/>
      </c>
      <c r="N91" s="10" t="str">
        <f>IFERROR(VLOOKUP(IT_Dienstleistungen[[#This Row],[Thema_Bezeichung]],EFs_IT[],6,FALSE),"")</f>
        <v/>
      </c>
      <c r="O91" s="10" t="str">
        <f>IFERROR(VLOOKUP(IT_Dienstleistungen[[#This Row],[Thema_Bezeichung]],EFs_IT[],7,FALSE),"")</f>
        <v/>
      </c>
      <c r="P91" s="10" t="str">
        <f>IFERROR(IT_Dienstleistungen[[#This Row],[Wert 
(Zahl)]]*IT_Dienstleistungen[[#This Row],[Scope 1 Emissionsfaktor '[kg CO2e/Einheit']]],"")</f>
        <v/>
      </c>
      <c r="Q91" s="10" t="str">
        <f>IFERROR(IT_Dienstleistungen[[#This Row],[Wert 
(Zahl)]]*IT_Dienstleistungen[[#This Row],[Scope 2 Emissionsfaktor '[kg CO2e/Einheit']]],"")</f>
        <v/>
      </c>
      <c r="R91" s="10" t="str">
        <f>IFERROR(IT_Dienstleistungen[[#This Row],[Wert 
(Zahl)]]*IT_Dienstleistungen[[#This Row],[Scope 3 Emissionsfaktor '[kg CO2e/Einheit']]],"")</f>
        <v/>
      </c>
    </row>
    <row r="92" spans="2:31" s="92" customFormat="1" x14ac:dyDescent="0.35">
      <c r="B92" s="423"/>
      <c r="C92" s="92" t="str">
        <f t="shared" si="2"/>
        <v>IT_Dienstleistungen</v>
      </c>
      <c r="D92" s="96"/>
      <c r="E92" s="96"/>
      <c r="F92" s="313"/>
      <c r="G92" s="96" t="str">
        <f>IFERROR(VLOOKUP(IT_Dienstleistungen[[#This Row],[Thema_Bezeichung]],Emissionsfaktoren!$C$9:$N$201,4,FALSE),"")</f>
        <v/>
      </c>
      <c r="H92" s="96"/>
      <c r="I92" s="96"/>
      <c r="J92" s="96"/>
      <c r="K92" s="310" t="str">
        <f>IF(ISBLANK(IT_Dienstleistungen[[#This Row],[Wert 
(Zahl)]]),"",SUM(IT_Dienstleistungen[[#This Row],[Scope 1 Ergebnis location-based '[kg CO2e']]:[Scope 3 Ergebnis location-based '[kg CO2e']]]))</f>
        <v/>
      </c>
      <c r="L92" s="100" t="str">
        <f>IF(ISBLANK(IT_Dienstleistungen[[#This Row],[Emissionsquelle/Aktivität (Dropdown)]]),"",CONCATENATE(IT_Dienstleistungen[[#This Row],[Sektor_Thema]]," - ",IT_Dienstleistungen[[#This Row],[Emissionsquelle/Aktivität (Dropdown)]]))</f>
        <v/>
      </c>
      <c r="M92" s="96" t="str">
        <f>IFERROR(VLOOKUP(IT_Dienstleistungen[[#This Row],[Thema_Bezeichung]],EFs_IT[],5,FALSE),"")</f>
        <v/>
      </c>
      <c r="N92" s="96" t="str">
        <f>IFERROR(VLOOKUP(IT_Dienstleistungen[[#This Row],[Thema_Bezeichung]],EFs_IT[],6,FALSE),"")</f>
        <v/>
      </c>
      <c r="O92" s="96" t="str">
        <f>IFERROR(VLOOKUP(IT_Dienstleistungen[[#This Row],[Thema_Bezeichung]],EFs_IT[],7,FALSE),"")</f>
        <v/>
      </c>
      <c r="P92" s="96" t="str">
        <f>IFERROR(IT_Dienstleistungen[[#This Row],[Wert 
(Zahl)]]*IT_Dienstleistungen[[#This Row],[Scope 1 Emissionsfaktor '[kg CO2e/Einheit']]],"")</f>
        <v/>
      </c>
      <c r="Q92" s="96" t="str">
        <f>IFERROR(IT_Dienstleistungen[[#This Row],[Wert 
(Zahl)]]*IT_Dienstleistungen[[#This Row],[Scope 2 Emissionsfaktor '[kg CO2e/Einheit']]],"")</f>
        <v/>
      </c>
      <c r="R92" s="96" t="str">
        <f>IFERROR(IT_Dienstleistungen[[#This Row],[Wert 
(Zahl)]]*IT_Dienstleistungen[[#This Row],[Scope 3 Emissionsfaktor '[kg CO2e/Einheit']]],"")</f>
        <v/>
      </c>
    </row>
    <row r="93" spans="2:31" s="92" customFormat="1" ht="15" thickBot="1" x14ac:dyDescent="0.4">
      <c r="B93" s="424"/>
      <c r="C93" s="92" t="str">
        <f t="shared" si="2"/>
        <v>IT_Dienstleistungen</v>
      </c>
      <c r="D93" s="96"/>
      <c r="E93" s="96"/>
      <c r="F93" s="313"/>
      <c r="G93" s="96" t="str">
        <f>IFERROR(VLOOKUP(IT_Dienstleistungen[[#This Row],[Thema_Bezeichung]],Emissionsfaktoren!$C$9:$N$201,4,FALSE),"")</f>
        <v/>
      </c>
      <c r="H93" s="96"/>
      <c r="I93" s="96"/>
      <c r="J93" s="96"/>
      <c r="K93" s="310" t="str">
        <f>IF(ISBLANK(IT_Dienstleistungen[[#This Row],[Wert 
(Zahl)]]),"",SUM(IT_Dienstleistungen[[#This Row],[Scope 1 Ergebnis location-based '[kg CO2e']]:[Scope 3 Ergebnis location-based '[kg CO2e']]]))</f>
        <v/>
      </c>
      <c r="L93" s="100" t="str">
        <f>IF(ISBLANK(IT_Dienstleistungen[[#This Row],[Emissionsquelle/Aktivität (Dropdown)]]),"",CONCATENATE(IT_Dienstleistungen[[#This Row],[Sektor_Thema]]," - ",IT_Dienstleistungen[[#This Row],[Emissionsquelle/Aktivität (Dropdown)]]))</f>
        <v/>
      </c>
      <c r="M93" s="96" t="str">
        <f>IFERROR(VLOOKUP(IT_Dienstleistungen[[#This Row],[Thema_Bezeichung]],EFs_IT[],5,FALSE),"")</f>
        <v/>
      </c>
      <c r="N93" s="96" t="str">
        <f>IFERROR(VLOOKUP(IT_Dienstleistungen[[#This Row],[Thema_Bezeichung]],EFs_IT[],6,FALSE),"")</f>
        <v/>
      </c>
      <c r="O93" s="96" t="str">
        <f>IFERROR(VLOOKUP(IT_Dienstleistungen[[#This Row],[Thema_Bezeichung]],EFs_IT[],7,FALSE),"")</f>
        <v/>
      </c>
      <c r="P93" s="96" t="str">
        <f>IFERROR(IT_Dienstleistungen[[#This Row],[Wert 
(Zahl)]]*IT_Dienstleistungen[[#This Row],[Scope 1 Emissionsfaktor '[kg CO2e/Einheit']]],"")</f>
        <v/>
      </c>
      <c r="Q93" s="96" t="str">
        <f>IFERROR(IT_Dienstleistungen[[#This Row],[Wert 
(Zahl)]]*IT_Dienstleistungen[[#This Row],[Scope 2 Emissionsfaktor '[kg CO2e/Einheit']]],"")</f>
        <v/>
      </c>
      <c r="R93" s="96" t="str">
        <f>IFERROR(IT_Dienstleistungen[[#This Row],[Wert 
(Zahl)]]*IT_Dienstleistungen[[#This Row],[Scope 3 Emissionsfaktor '[kg CO2e/Einheit']]],"")</f>
        <v/>
      </c>
    </row>
    <row r="94" spans="2:31" s="2" customFormat="1" ht="15.75" customHeight="1" thickTop="1" x14ac:dyDescent="0.35">
      <c r="B94" s="59"/>
      <c r="D94" s="117" t="s">
        <v>226</v>
      </c>
      <c r="K94" s="311">
        <f>SUBTOTAL(109,IT_Dienstleistungen[Ergebnis '[kg CO2e'] (vorausgefüllt)])</f>
        <v>0</v>
      </c>
      <c r="P94" s="2">
        <f>SUBTOTAL(109,IT_Dienstleistungen[Scope 1 Ergebnis location-based '[kg CO2e']])</f>
        <v>0</v>
      </c>
      <c r="Q94" s="2">
        <f>SUBTOTAL(109,IT_Dienstleistungen[Scope 2 Ergebnis location-based '[kg CO2e']])</f>
        <v>0</v>
      </c>
      <c r="R94" s="2">
        <f>SUBTOTAL(109,IT_Dienstleistungen[Scope 3 Ergebnis location-based '[kg CO2e']])</f>
        <v>0</v>
      </c>
    </row>
    <row r="95" spans="2:31" ht="121.5" customHeight="1" x14ac:dyDescent="0.35">
      <c r="B95" s="197" t="s">
        <v>85</v>
      </c>
    </row>
    <row r="96" spans="2:31" x14ac:dyDescent="0.35">
      <c r="B96" s="135" t="s">
        <v>86</v>
      </c>
      <c r="X96" s="159"/>
      <c r="Y96" s="159"/>
      <c r="Z96" s="159"/>
      <c r="AA96" s="159"/>
      <c r="AB96" s="159"/>
      <c r="AC96" s="159"/>
      <c r="AD96" s="159"/>
      <c r="AE96" s="159"/>
    </row>
    <row r="97" spans="1:23" s="1" customFormat="1" ht="23.25" customHeight="1" x14ac:dyDescent="0.45">
      <c r="A97"/>
      <c r="B97" s="134" t="s">
        <v>22</v>
      </c>
      <c r="C97"/>
      <c r="D97"/>
      <c r="E97"/>
      <c r="F97"/>
      <c r="G97"/>
      <c r="H97"/>
      <c r="I97"/>
      <c r="J97"/>
      <c r="K97"/>
      <c r="L97"/>
      <c r="M97"/>
      <c r="N97"/>
      <c r="O97"/>
      <c r="P97"/>
      <c r="Q97"/>
      <c r="R97"/>
      <c r="S97"/>
      <c r="T97"/>
      <c r="U97"/>
      <c r="V97"/>
      <c r="W97"/>
    </row>
    <row r="98" spans="1:23" ht="94.5" customHeight="1" x14ac:dyDescent="0.35">
      <c r="B98" s="303" t="s">
        <v>93</v>
      </c>
      <c r="C98" s="304"/>
      <c r="D98" s="404" t="s">
        <v>403</v>
      </c>
      <c r="E98" s="404"/>
      <c r="F98" s="404"/>
      <c r="G98" s="404"/>
      <c r="H98" s="404"/>
      <c r="I98" s="405"/>
      <c r="J98" s="1"/>
      <c r="K98" s="1"/>
      <c r="L98" s="1"/>
      <c r="M98" s="1"/>
      <c r="N98" s="1"/>
      <c r="O98" s="1"/>
      <c r="P98" s="1"/>
      <c r="Q98" s="1"/>
      <c r="R98" s="1"/>
      <c r="S98" s="1"/>
      <c r="T98" s="1"/>
      <c r="U98" s="1"/>
      <c r="V98" s="1"/>
      <c r="W98" s="1"/>
    </row>
    <row r="99" spans="1:23" x14ac:dyDescent="0.35">
      <c r="C99" t="s">
        <v>53</v>
      </c>
    </row>
    <row r="100" spans="1:23" ht="44" thickBot="1" x14ac:dyDescent="0.4">
      <c r="B100" s="10"/>
      <c r="C100" s="27" t="s">
        <v>51</v>
      </c>
      <c r="D100" s="27" t="s">
        <v>214</v>
      </c>
      <c r="E100" s="27" t="s">
        <v>71</v>
      </c>
      <c r="F100" s="27" t="s">
        <v>72</v>
      </c>
      <c r="G100" s="103" t="s">
        <v>84</v>
      </c>
      <c r="H100" s="27" t="s">
        <v>135</v>
      </c>
      <c r="I100" s="103" t="s">
        <v>80</v>
      </c>
      <c r="J100" s="103" t="s">
        <v>81</v>
      </c>
      <c r="K100" s="164" t="s">
        <v>243</v>
      </c>
      <c r="L100" s="102" t="s">
        <v>241</v>
      </c>
      <c r="M100" s="102" t="s">
        <v>87</v>
      </c>
      <c r="N100" s="102" t="s">
        <v>89</v>
      </c>
      <c r="O100" s="102" t="s">
        <v>205</v>
      </c>
      <c r="P100" s="102" t="s">
        <v>204</v>
      </c>
      <c r="Q100" s="102" t="s">
        <v>92</v>
      </c>
      <c r="R100" s="102" t="s">
        <v>91</v>
      </c>
      <c r="S100" s="102" t="s">
        <v>203</v>
      </c>
      <c r="T100" s="102" t="s">
        <v>206</v>
      </c>
    </row>
    <row r="101" spans="1:23" s="95" customFormat="1" ht="15" thickTop="1" x14ac:dyDescent="0.35">
      <c r="B101" s="417" t="s">
        <v>22</v>
      </c>
      <c r="C101" t="str">
        <f t="shared" ref="C101:C120" si="3">$C$99</f>
        <v>Relevante_Stoffströme</v>
      </c>
      <c r="D101" s="96"/>
      <c r="E101" s="96"/>
      <c r="F101" s="313"/>
      <c r="G101" s="10" t="str">
        <f>IFERROR(VLOOKUP(Relevante_Stoffströme[[#This Row],[Thema_Bezeichung]],EFs_3135[],4,FALSE),"")</f>
        <v/>
      </c>
      <c r="H101" s="96"/>
      <c r="I101" s="96"/>
      <c r="J101" s="96"/>
      <c r="K101" s="309" t="str">
        <f>IF(ISBLANK(Relevante_Stoffströme[[#This Row],[Wert 
(Zahl)]]),"",SUM(Relevante_Stoffströme[[#This Row],[Scope 1 Ergebnis location-based '[kg CO2e']]:[Scope 3.5 Ergebnis location-based '[kg CO2e']]]))</f>
        <v/>
      </c>
      <c r="L101" s="160" t="str">
        <f>IF(ISBLANK(Relevante_Stoffströme[[#This Row],[Emissionsquelle/Aktivität (Dropdown)]]),"",CONCATENATE(Relevante_Stoffströme[[#This Row],[Sektor_Thema]]," - ",Relevante_Stoffströme[[#This Row],[Emissionsquelle/Aktivität (Dropdown)]]))</f>
        <v/>
      </c>
      <c r="M101" s="161" t="str">
        <f>IFERROR(VLOOKUP(Relevante_Stoffströme[[#This Row],[Thema_Bezeichung]],EFs_3135[],5,FALSE),"")</f>
        <v/>
      </c>
      <c r="N101" s="161" t="str">
        <f>IFERROR(VLOOKUP(Relevante_Stoffströme[[#This Row],[Thema_Bezeichung]],EFs_3135[],6,FALSE),"")</f>
        <v/>
      </c>
      <c r="O101" s="161" t="str">
        <f>IFERROR(VLOOKUP(Relevante_Stoffströme[[#This Row],[Thema_Bezeichung]],EFs_3135[],7,FALSE),"")</f>
        <v/>
      </c>
      <c r="P101" s="161" t="str">
        <f>IFERROR(VLOOKUP(Relevante_Stoffströme[[#This Row],[Thema_Bezeichung]],EFs_3135[],8,FALSE),"")</f>
        <v/>
      </c>
      <c r="Q101" s="161" t="str">
        <f>IFERROR(Relevante_Stoffströme[[#This Row],[Wert 
(Zahl)]]*Relevante_Stoffströme[[#This Row],[Scope 1 Emissionsfaktor '[kg CO2e/Einheit']]],"")</f>
        <v/>
      </c>
      <c r="R101" s="161" t="str">
        <f>IFERROR(Relevante_Stoffströme[[#This Row],[Wert 
(Zahl)]]*Relevante_Stoffströme[[#This Row],[Scope 2 Emissionsfaktor '[kg CO2e/Einheit']]],"")</f>
        <v/>
      </c>
      <c r="S101" s="161" t="str">
        <f>IFERROR(Relevante_Stoffströme[[#This Row],[Wert 
(Zahl)]]*Relevante_Stoffströme[[#This Row],[Scope 3.1 Emissionsfaktor '[kg CO2e/Einheit']]],"")</f>
        <v/>
      </c>
      <c r="T101" s="161" t="str">
        <f>IFERROR(Relevante_Stoffströme[[#This Row],[Wert 
(Zahl)]]*Relevante_Stoffströme[[#This Row],[Scope 3.5 Emissionsfaktor '[kg CO2e/Einheit']]],"")</f>
        <v/>
      </c>
    </row>
    <row r="102" spans="1:23" s="95" customFormat="1" x14ac:dyDescent="0.35">
      <c r="B102" s="418"/>
      <c r="C102" t="str">
        <f t="shared" si="3"/>
        <v>Relevante_Stoffströme</v>
      </c>
      <c r="D102" s="96"/>
      <c r="E102" s="96"/>
      <c r="F102" s="313"/>
      <c r="G102" s="10" t="str">
        <f>IFERROR(VLOOKUP(Relevante_Stoffströme[[#This Row],[Thema_Bezeichung]],EFs_3135[],4,FALSE),"")</f>
        <v/>
      </c>
      <c r="H102" s="96"/>
      <c r="I102" s="96"/>
      <c r="J102" s="96"/>
      <c r="K102" s="314" t="str">
        <f>IF(ISBLANK(Relevante_Stoffströme[[#This Row],[Wert 
(Zahl)]]),"",SUM(Relevante_Stoffströme[[#This Row],[Scope 1 Ergebnis location-based '[kg CO2e']]:[Scope 3.5 Ergebnis location-based '[kg CO2e']]]))</f>
        <v/>
      </c>
      <c r="L102" s="160" t="str">
        <f>IF(ISBLANK(Relevante_Stoffströme[[#This Row],[Emissionsquelle/Aktivität (Dropdown)]]),"",CONCATENATE(Relevante_Stoffströme[[#This Row],[Sektor_Thema]]," - ",Relevante_Stoffströme[[#This Row],[Emissionsquelle/Aktivität (Dropdown)]]))</f>
        <v/>
      </c>
      <c r="M102" s="161" t="str">
        <f>IFERROR(VLOOKUP(Relevante_Stoffströme[[#This Row],[Thema_Bezeichung]],EFs_3135[],5,FALSE),"")</f>
        <v/>
      </c>
      <c r="N102" s="161" t="str">
        <f>IFERROR(VLOOKUP(Relevante_Stoffströme[[#This Row],[Thema_Bezeichung]],EFs_3135[],6,FALSE),"")</f>
        <v/>
      </c>
      <c r="O102" s="161" t="str">
        <f>IFERROR(VLOOKUP(Relevante_Stoffströme[[#This Row],[Thema_Bezeichung]],EFs_3135[],7,FALSE),"")</f>
        <v/>
      </c>
      <c r="P102" s="161" t="str">
        <f>IFERROR(VLOOKUP(Relevante_Stoffströme[[#This Row],[Thema_Bezeichung]],EFs_3135[],8,FALSE),"")</f>
        <v/>
      </c>
      <c r="Q102" s="161" t="str">
        <f>IFERROR(Relevante_Stoffströme[[#This Row],[Wert 
(Zahl)]]*Relevante_Stoffströme[[#This Row],[Scope 1 Emissionsfaktor '[kg CO2e/Einheit']]],"")</f>
        <v/>
      </c>
      <c r="R102" s="161" t="str">
        <f>IFERROR(Relevante_Stoffströme[[#This Row],[Wert 
(Zahl)]]*Relevante_Stoffströme[[#This Row],[Scope 2 Emissionsfaktor '[kg CO2e/Einheit']]],"")</f>
        <v/>
      </c>
      <c r="S102" s="161" t="str">
        <f>IFERROR(Relevante_Stoffströme[[#This Row],[Wert 
(Zahl)]]*Relevante_Stoffströme[[#This Row],[Scope 3.1 Emissionsfaktor '[kg CO2e/Einheit']]],"")</f>
        <v/>
      </c>
      <c r="T102" s="161" t="str">
        <f>IFERROR(Relevante_Stoffströme[[#This Row],[Wert 
(Zahl)]]*Relevante_Stoffströme[[#This Row],[Scope 3.5 Emissionsfaktor '[kg CO2e/Einheit']]],"")</f>
        <v/>
      </c>
    </row>
    <row r="103" spans="1:23" s="95" customFormat="1" x14ac:dyDescent="0.35">
      <c r="B103" s="418"/>
      <c r="C103" t="str">
        <f t="shared" si="3"/>
        <v>Relevante_Stoffströme</v>
      </c>
      <c r="D103" s="96"/>
      <c r="E103" s="96"/>
      <c r="F103" s="313"/>
      <c r="G103" s="10" t="str">
        <f>IFERROR(VLOOKUP(Relevante_Stoffströme[[#This Row],[Thema_Bezeichung]],EFs_3135[],4,FALSE),"")</f>
        <v/>
      </c>
      <c r="H103" s="96"/>
      <c r="I103" s="96"/>
      <c r="J103" s="96"/>
      <c r="K103" s="314" t="str">
        <f>IF(ISBLANK(Relevante_Stoffströme[[#This Row],[Wert 
(Zahl)]]),"",SUM(Relevante_Stoffströme[[#This Row],[Scope 1 Ergebnis location-based '[kg CO2e']]:[Scope 3.5 Ergebnis location-based '[kg CO2e']]]))</f>
        <v/>
      </c>
      <c r="L103" s="160" t="str">
        <f>IF(ISBLANK(Relevante_Stoffströme[[#This Row],[Emissionsquelle/Aktivität (Dropdown)]]),"",CONCATENATE(Relevante_Stoffströme[[#This Row],[Sektor_Thema]]," - ",Relevante_Stoffströme[[#This Row],[Emissionsquelle/Aktivität (Dropdown)]]))</f>
        <v/>
      </c>
      <c r="M103" s="161" t="str">
        <f>IFERROR(VLOOKUP(Relevante_Stoffströme[[#This Row],[Thema_Bezeichung]],EFs_3135[],5,FALSE),"")</f>
        <v/>
      </c>
      <c r="N103" s="161" t="str">
        <f>IFERROR(VLOOKUP(Relevante_Stoffströme[[#This Row],[Thema_Bezeichung]],EFs_3135[],6,FALSE),"")</f>
        <v/>
      </c>
      <c r="O103" s="161" t="str">
        <f>IFERROR(VLOOKUP(Relevante_Stoffströme[[#This Row],[Thema_Bezeichung]],EFs_3135[],7,FALSE),"")</f>
        <v/>
      </c>
      <c r="P103" s="161" t="str">
        <f>IFERROR(VLOOKUP(Relevante_Stoffströme[[#This Row],[Thema_Bezeichung]],EFs_3135[],8,FALSE),"")</f>
        <v/>
      </c>
      <c r="Q103" s="161" t="str">
        <f>IFERROR(Relevante_Stoffströme[[#This Row],[Wert 
(Zahl)]]*Relevante_Stoffströme[[#This Row],[Scope 1 Emissionsfaktor '[kg CO2e/Einheit']]],"")</f>
        <v/>
      </c>
      <c r="R103" s="161" t="str">
        <f>IFERROR(Relevante_Stoffströme[[#This Row],[Wert 
(Zahl)]]*Relevante_Stoffströme[[#This Row],[Scope 2 Emissionsfaktor '[kg CO2e/Einheit']]],"")</f>
        <v/>
      </c>
      <c r="S103" s="161" t="str">
        <f>IFERROR(Relevante_Stoffströme[[#This Row],[Wert 
(Zahl)]]*Relevante_Stoffströme[[#This Row],[Scope 3.1 Emissionsfaktor '[kg CO2e/Einheit']]],"")</f>
        <v/>
      </c>
      <c r="T103" s="161" t="str">
        <f>IFERROR(Relevante_Stoffströme[[#This Row],[Wert 
(Zahl)]]*Relevante_Stoffströme[[#This Row],[Scope 3.5 Emissionsfaktor '[kg CO2e/Einheit']]],"")</f>
        <v/>
      </c>
    </row>
    <row r="104" spans="1:23" s="95" customFormat="1" x14ac:dyDescent="0.35">
      <c r="B104" s="418"/>
      <c r="C104" t="str">
        <f t="shared" si="3"/>
        <v>Relevante_Stoffströme</v>
      </c>
      <c r="D104" s="96"/>
      <c r="E104" s="96"/>
      <c r="F104" s="313"/>
      <c r="G104" s="10" t="str">
        <f>IFERROR(VLOOKUP(Relevante_Stoffströme[[#This Row],[Thema_Bezeichung]],EFs_3135[],4,FALSE),"")</f>
        <v/>
      </c>
      <c r="H104" s="96"/>
      <c r="I104" s="96"/>
      <c r="J104" s="96"/>
      <c r="K104" s="314" t="str">
        <f>IF(ISBLANK(Relevante_Stoffströme[[#This Row],[Wert 
(Zahl)]]),"",SUM(Relevante_Stoffströme[[#This Row],[Scope 1 Ergebnis location-based '[kg CO2e']]:[Scope 3.5 Ergebnis location-based '[kg CO2e']]]))</f>
        <v/>
      </c>
      <c r="L104" s="160" t="str">
        <f>IF(ISBLANK(Relevante_Stoffströme[[#This Row],[Emissionsquelle/Aktivität (Dropdown)]]),"",CONCATENATE(Relevante_Stoffströme[[#This Row],[Sektor_Thema]]," - ",Relevante_Stoffströme[[#This Row],[Emissionsquelle/Aktivität (Dropdown)]]))</f>
        <v/>
      </c>
      <c r="M104" s="161" t="str">
        <f>IFERROR(VLOOKUP(Relevante_Stoffströme[[#This Row],[Thema_Bezeichung]],EFs_3135[],5,FALSE),"")</f>
        <v/>
      </c>
      <c r="N104" s="161" t="str">
        <f>IFERROR(VLOOKUP(Relevante_Stoffströme[[#This Row],[Thema_Bezeichung]],EFs_3135[],6,FALSE),"")</f>
        <v/>
      </c>
      <c r="O104" s="161" t="str">
        <f>IFERROR(VLOOKUP(Relevante_Stoffströme[[#This Row],[Thema_Bezeichung]],EFs_3135[],7,FALSE),"")</f>
        <v/>
      </c>
      <c r="P104" s="161" t="str">
        <f>IFERROR(VLOOKUP(Relevante_Stoffströme[[#This Row],[Thema_Bezeichung]],EFs_3135[],8,FALSE),"")</f>
        <v/>
      </c>
      <c r="Q104" s="161" t="str">
        <f>IFERROR(Relevante_Stoffströme[[#This Row],[Wert 
(Zahl)]]*Relevante_Stoffströme[[#This Row],[Scope 1 Emissionsfaktor '[kg CO2e/Einheit']]],"")</f>
        <v/>
      </c>
      <c r="R104" s="161" t="str">
        <f>IFERROR(Relevante_Stoffströme[[#This Row],[Wert 
(Zahl)]]*Relevante_Stoffströme[[#This Row],[Scope 2 Emissionsfaktor '[kg CO2e/Einheit']]],"")</f>
        <v/>
      </c>
      <c r="S104" s="161" t="str">
        <f>IFERROR(Relevante_Stoffströme[[#This Row],[Wert 
(Zahl)]]*Relevante_Stoffströme[[#This Row],[Scope 3.1 Emissionsfaktor '[kg CO2e/Einheit']]],"")</f>
        <v/>
      </c>
      <c r="T104" s="161" t="str">
        <f>IFERROR(Relevante_Stoffströme[[#This Row],[Wert 
(Zahl)]]*Relevante_Stoffströme[[#This Row],[Scope 3.5 Emissionsfaktor '[kg CO2e/Einheit']]],"")</f>
        <v/>
      </c>
    </row>
    <row r="105" spans="1:23" s="95" customFormat="1" x14ac:dyDescent="0.35">
      <c r="B105" s="418"/>
      <c r="C105" t="str">
        <f t="shared" si="3"/>
        <v>Relevante_Stoffströme</v>
      </c>
      <c r="D105" s="96"/>
      <c r="E105" s="96"/>
      <c r="F105" s="313"/>
      <c r="G105" s="10" t="str">
        <f>IFERROR(VLOOKUP(Relevante_Stoffströme[[#This Row],[Thema_Bezeichung]],EFs_3135[],4,FALSE),"")</f>
        <v/>
      </c>
      <c r="H105" s="96"/>
      <c r="I105" s="96"/>
      <c r="J105" s="96"/>
      <c r="K105" s="314" t="str">
        <f>IF(ISBLANK(Relevante_Stoffströme[[#This Row],[Wert 
(Zahl)]]),"",SUM(Relevante_Stoffströme[[#This Row],[Scope 1 Ergebnis location-based '[kg CO2e']]:[Scope 3.5 Ergebnis location-based '[kg CO2e']]]))</f>
        <v/>
      </c>
      <c r="L105" s="160" t="str">
        <f>IF(ISBLANK(Relevante_Stoffströme[[#This Row],[Emissionsquelle/Aktivität (Dropdown)]]),"",CONCATENATE(Relevante_Stoffströme[[#This Row],[Sektor_Thema]]," - ",Relevante_Stoffströme[[#This Row],[Emissionsquelle/Aktivität (Dropdown)]]))</f>
        <v/>
      </c>
      <c r="M105" s="161" t="str">
        <f>IFERROR(VLOOKUP(Relevante_Stoffströme[[#This Row],[Thema_Bezeichung]],EFs_3135[],5,FALSE),"")</f>
        <v/>
      </c>
      <c r="N105" s="161" t="str">
        <f>IFERROR(VLOOKUP(Relevante_Stoffströme[[#This Row],[Thema_Bezeichung]],EFs_3135[],6,FALSE),"")</f>
        <v/>
      </c>
      <c r="O105" s="161" t="str">
        <f>IFERROR(VLOOKUP(Relevante_Stoffströme[[#This Row],[Thema_Bezeichung]],EFs_3135[],7,FALSE),"")</f>
        <v/>
      </c>
      <c r="P105" s="161" t="str">
        <f>IFERROR(VLOOKUP(Relevante_Stoffströme[[#This Row],[Thema_Bezeichung]],EFs_3135[],8,FALSE),"")</f>
        <v/>
      </c>
      <c r="Q105" s="161" t="str">
        <f>IFERROR(Relevante_Stoffströme[[#This Row],[Wert 
(Zahl)]]*Relevante_Stoffströme[[#This Row],[Scope 1 Emissionsfaktor '[kg CO2e/Einheit']]],"")</f>
        <v/>
      </c>
      <c r="R105" s="161" t="str">
        <f>IFERROR(Relevante_Stoffströme[[#This Row],[Wert 
(Zahl)]]*Relevante_Stoffströme[[#This Row],[Scope 2 Emissionsfaktor '[kg CO2e/Einheit']]],"")</f>
        <v/>
      </c>
      <c r="S105" s="161" t="str">
        <f>IFERROR(Relevante_Stoffströme[[#This Row],[Wert 
(Zahl)]]*Relevante_Stoffströme[[#This Row],[Scope 3.1 Emissionsfaktor '[kg CO2e/Einheit']]],"")</f>
        <v/>
      </c>
      <c r="T105" s="161" t="str">
        <f>IFERROR(Relevante_Stoffströme[[#This Row],[Wert 
(Zahl)]]*Relevante_Stoffströme[[#This Row],[Scope 3.5 Emissionsfaktor '[kg CO2e/Einheit']]],"")</f>
        <v/>
      </c>
    </row>
    <row r="106" spans="1:23" s="95" customFormat="1" x14ac:dyDescent="0.35">
      <c r="B106" s="418"/>
      <c r="C106" t="str">
        <f t="shared" si="3"/>
        <v>Relevante_Stoffströme</v>
      </c>
      <c r="D106" s="96"/>
      <c r="E106" s="96"/>
      <c r="F106" s="313"/>
      <c r="G106" s="10" t="str">
        <f>IFERROR(VLOOKUP(Relevante_Stoffströme[[#This Row],[Thema_Bezeichung]],EFs_3135[],4,FALSE),"")</f>
        <v/>
      </c>
      <c r="H106" s="96"/>
      <c r="I106" s="96"/>
      <c r="J106" s="96"/>
      <c r="K106" s="314" t="str">
        <f>IF(ISBLANK(Relevante_Stoffströme[[#This Row],[Wert 
(Zahl)]]),"",SUM(Relevante_Stoffströme[[#This Row],[Scope 1 Ergebnis location-based '[kg CO2e']]:[Scope 3.5 Ergebnis location-based '[kg CO2e']]]))</f>
        <v/>
      </c>
      <c r="L106" s="160" t="str">
        <f>IF(ISBLANK(Relevante_Stoffströme[[#This Row],[Emissionsquelle/Aktivität (Dropdown)]]),"",CONCATENATE(Relevante_Stoffströme[[#This Row],[Sektor_Thema]]," - ",Relevante_Stoffströme[[#This Row],[Emissionsquelle/Aktivität (Dropdown)]]))</f>
        <v/>
      </c>
      <c r="M106" s="161" t="str">
        <f>IFERROR(VLOOKUP(Relevante_Stoffströme[[#This Row],[Thema_Bezeichung]],EFs_3135[],5,FALSE),"")</f>
        <v/>
      </c>
      <c r="N106" s="161" t="str">
        <f>IFERROR(VLOOKUP(Relevante_Stoffströme[[#This Row],[Thema_Bezeichung]],EFs_3135[],6,FALSE),"")</f>
        <v/>
      </c>
      <c r="O106" s="161" t="str">
        <f>IFERROR(VLOOKUP(Relevante_Stoffströme[[#This Row],[Thema_Bezeichung]],EFs_3135[],7,FALSE),"")</f>
        <v/>
      </c>
      <c r="P106" s="161" t="str">
        <f>IFERROR(VLOOKUP(Relevante_Stoffströme[[#This Row],[Thema_Bezeichung]],EFs_3135[],8,FALSE),"")</f>
        <v/>
      </c>
      <c r="Q106" s="161" t="str">
        <f>IFERROR(Relevante_Stoffströme[[#This Row],[Wert 
(Zahl)]]*Relevante_Stoffströme[[#This Row],[Scope 1 Emissionsfaktor '[kg CO2e/Einheit']]],"")</f>
        <v/>
      </c>
      <c r="R106" s="161" t="str">
        <f>IFERROR(Relevante_Stoffströme[[#This Row],[Wert 
(Zahl)]]*Relevante_Stoffströme[[#This Row],[Scope 2 Emissionsfaktor '[kg CO2e/Einheit']]],"")</f>
        <v/>
      </c>
      <c r="S106" s="161" t="str">
        <f>IFERROR(Relevante_Stoffströme[[#This Row],[Wert 
(Zahl)]]*Relevante_Stoffströme[[#This Row],[Scope 3.1 Emissionsfaktor '[kg CO2e/Einheit']]],"")</f>
        <v/>
      </c>
      <c r="T106" s="161" t="str">
        <f>IFERROR(Relevante_Stoffströme[[#This Row],[Wert 
(Zahl)]]*Relevante_Stoffströme[[#This Row],[Scope 3.5 Emissionsfaktor '[kg CO2e/Einheit']]],"")</f>
        <v/>
      </c>
    </row>
    <row r="107" spans="1:23" s="95" customFormat="1" x14ac:dyDescent="0.35">
      <c r="B107" s="418"/>
      <c r="C107" t="str">
        <f t="shared" si="3"/>
        <v>Relevante_Stoffströme</v>
      </c>
      <c r="D107" s="96"/>
      <c r="E107" s="96"/>
      <c r="F107" s="313"/>
      <c r="G107" s="10" t="str">
        <f>IFERROR(VLOOKUP(Relevante_Stoffströme[[#This Row],[Thema_Bezeichung]],EFs_3135[],4,FALSE),"")</f>
        <v/>
      </c>
      <c r="H107" s="96"/>
      <c r="I107" s="96"/>
      <c r="J107" s="96"/>
      <c r="K107" s="314" t="str">
        <f>IF(ISBLANK(Relevante_Stoffströme[[#This Row],[Wert 
(Zahl)]]),"",SUM(Relevante_Stoffströme[[#This Row],[Scope 1 Ergebnis location-based '[kg CO2e']]:[Scope 3.5 Ergebnis location-based '[kg CO2e']]]))</f>
        <v/>
      </c>
      <c r="L107" s="160" t="str">
        <f>IF(ISBLANK(Relevante_Stoffströme[[#This Row],[Emissionsquelle/Aktivität (Dropdown)]]),"",CONCATENATE(Relevante_Stoffströme[[#This Row],[Sektor_Thema]]," - ",Relevante_Stoffströme[[#This Row],[Emissionsquelle/Aktivität (Dropdown)]]))</f>
        <v/>
      </c>
      <c r="M107" s="161" t="str">
        <f>IFERROR(VLOOKUP(Relevante_Stoffströme[[#This Row],[Thema_Bezeichung]],EFs_3135[],5,FALSE),"")</f>
        <v/>
      </c>
      <c r="N107" s="161" t="str">
        <f>IFERROR(VLOOKUP(Relevante_Stoffströme[[#This Row],[Thema_Bezeichung]],EFs_3135[],6,FALSE),"")</f>
        <v/>
      </c>
      <c r="O107" s="161" t="str">
        <f>IFERROR(VLOOKUP(Relevante_Stoffströme[[#This Row],[Thema_Bezeichung]],EFs_3135[],7,FALSE),"")</f>
        <v/>
      </c>
      <c r="P107" s="161" t="str">
        <f>IFERROR(VLOOKUP(Relevante_Stoffströme[[#This Row],[Thema_Bezeichung]],EFs_3135[],8,FALSE),"")</f>
        <v/>
      </c>
      <c r="Q107" s="161" t="str">
        <f>IFERROR(Relevante_Stoffströme[[#This Row],[Wert 
(Zahl)]]*Relevante_Stoffströme[[#This Row],[Scope 1 Emissionsfaktor '[kg CO2e/Einheit']]],"")</f>
        <v/>
      </c>
      <c r="R107" s="161" t="str">
        <f>IFERROR(Relevante_Stoffströme[[#This Row],[Wert 
(Zahl)]]*Relevante_Stoffströme[[#This Row],[Scope 2 Emissionsfaktor '[kg CO2e/Einheit']]],"")</f>
        <v/>
      </c>
      <c r="S107" s="161" t="str">
        <f>IFERROR(Relevante_Stoffströme[[#This Row],[Wert 
(Zahl)]]*Relevante_Stoffströme[[#This Row],[Scope 3.1 Emissionsfaktor '[kg CO2e/Einheit']]],"")</f>
        <v/>
      </c>
      <c r="T107" s="161" t="str">
        <f>IFERROR(Relevante_Stoffströme[[#This Row],[Wert 
(Zahl)]]*Relevante_Stoffströme[[#This Row],[Scope 3.5 Emissionsfaktor '[kg CO2e/Einheit']]],"")</f>
        <v/>
      </c>
    </row>
    <row r="108" spans="1:23" s="95" customFormat="1" x14ac:dyDescent="0.35">
      <c r="B108" s="418"/>
      <c r="C108" t="str">
        <f t="shared" si="3"/>
        <v>Relevante_Stoffströme</v>
      </c>
      <c r="D108" s="96"/>
      <c r="E108" s="96"/>
      <c r="F108" s="313"/>
      <c r="G108" s="10" t="str">
        <f>IFERROR(VLOOKUP(Relevante_Stoffströme[[#This Row],[Thema_Bezeichung]],EFs_3135[],4,FALSE),"")</f>
        <v/>
      </c>
      <c r="H108" s="96"/>
      <c r="I108" s="96"/>
      <c r="J108" s="96"/>
      <c r="K108" s="314" t="str">
        <f>IF(ISBLANK(Relevante_Stoffströme[[#This Row],[Wert 
(Zahl)]]),"",SUM(Relevante_Stoffströme[[#This Row],[Scope 1 Ergebnis location-based '[kg CO2e']]:[Scope 3.5 Ergebnis location-based '[kg CO2e']]]))</f>
        <v/>
      </c>
      <c r="L108" s="160" t="str">
        <f>IF(ISBLANK(Relevante_Stoffströme[[#This Row],[Emissionsquelle/Aktivität (Dropdown)]]),"",CONCATENATE(Relevante_Stoffströme[[#This Row],[Sektor_Thema]]," - ",Relevante_Stoffströme[[#This Row],[Emissionsquelle/Aktivität (Dropdown)]]))</f>
        <v/>
      </c>
      <c r="M108" s="161" t="str">
        <f>IFERROR(VLOOKUP(Relevante_Stoffströme[[#This Row],[Thema_Bezeichung]],EFs_3135[],5,FALSE),"")</f>
        <v/>
      </c>
      <c r="N108" s="161" t="str">
        <f>IFERROR(VLOOKUP(Relevante_Stoffströme[[#This Row],[Thema_Bezeichung]],EFs_3135[],6,FALSE),"")</f>
        <v/>
      </c>
      <c r="O108" s="161" t="str">
        <f>IFERROR(VLOOKUP(Relevante_Stoffströme[[#This Row],[Thema_Bezeichung]],EFs_3135[],7,FALSE),"")</f>
        <v/>
      </c>
      <c r="P108" s="161" t="str">
        <f>IFERROR(VLOOKUP(Relevante_Stoffströme[[#This Row],[Thema_Bezeichung]],EFs_3135[],8,FALSE),"")</f>
        <v/>
      </c>
      <c r="Q108" s="161" t="str">
        <f>IFERROR(Relevante_Stoffströme[[#This Row],[Wert 
(Zahl)]]*Relevante_Stoffströme[[#This Row],[Scope 1 Emissionsfaktor '[kg CO2e/Einheit']]],"")</f>
        <v/>
      </c>
      <c r="R108" s="161" t="str">
        <f>IFERROR(Relevante_Stoffströme[[#This Row],[Wert 
(Zahl)]]*Relevante_Stoffströme[[#This Row],[Scope 2 Emissionsfaktor '[kg CO2e/Einheit']]],"")</f>
        <v/>
      </c>
      <c r="S108" s="161" t="str">
        <f>IFERROR(Relevante_Stoffströme[[#This Row],[Wert 
(Zahl)]]*Relevante_Stoffströme[[#This Row],[Scope 3.1 Emissionsfaktor '[kg CO2e/Einheit']]],"")</f>
        <v/>
      </c>
      <c r="T108" s="161" t="str">
        <f>IFERROR(Relevante_Stoffströme[[#This Row],[Wert 
(Zahl)]]*Relevante_Stoffströme[[#This Row],[Scope 3.5 Emissionsfaktor '[kg CO2e/Einheit']]],"")</f>
        <v/>
      </c>
    </row>
    <row r="109" spans="1:23" s="95" customFormat="1" x14ac:dyDescent="0.35">
      <c r="B109" s="418"/>
      <c r="C109" t="str">
        <f t="shared" si="3"/>
        <v>Relevante_Stoffströme</v>
      </c>
      <c r="D109" s="96"/>
      <c r="E109" s="96"/>
      <c r="F109" s="313"/>
      <c r="G109" s="10" t="str">
        <f>IFERROR(VLOOKUP(Relevante_Stoffströme[[#This Row],[Thema_Bezeichung]],EFs_3135[],4,FALSE),"")</f>
        <v/>
      </c>
      <c r="H109" s="96"/>
      <c r="I109" s="96"/>
      <c r="J109" s="96"/>
      <c r="K109" s="314" t="str">
        <f>IF(ISBLANK(Relevante_Stoffströme[[#This Row],[Wert 
(Zahl)]]),"",SUM(Relevante_Stoffströme[[#This Row],[Scope 1 Ergebnis location-based '[kg CO2e']]:[Scope 3.5 Ergebnis location-based '[kg CO2e']]]))</f>
        <v/>
      </c>
      <c r="L109" s="160" t="str">
        <f>IF(ISBLANK(Relevante_Stoffströme[[#This Row],[Emissionsquelle/Aktivität (Dropdown)]]),"",CONCATENATE(Relevante_Stoffströme[[#This Row],[Sektor_Thema]]," - ",Relevante_Stoffströme[[#This Row],[Emissionsquelle/Aktivität (Dropdown)]]))</f>
        <v/>
      </c>
      <c r="M109" s="161" t="str">
        <f>IFERROR(VLOOKUP(Relevante_Stoffströme[[#This Row],[Thema_Bezeichung]],EFs_3135[],5,FALSE),"")</f>
        <v/>
      </c>
      <c r="N109" s="161" t="str">
        <f>IFERROR(VLOOKUP(Relevante_Stoffströme[[#This Row],[Thema_Bezeichung]],EFs_3135[],6,FALSE),"")</f>
        <v/>
      </c>
      <c r="O109" s="161" t="str">
        <f>IFERROR(VLOOKUP(Relevante_Stoffströme[[#This Row],[Thema_Bezeichung]],EFs_3135[],7,FALSE),"")</f>
        <v/>
      </c>
      <c r="P109" s="161" t="str">
        <f>IFERROR(VLOOKUP(Relevante_Stoffströme[[#This Row],[Thema_Bezeichung]],EFs_3135[],8,FALSE),"")</f>
        <v/>
      </c>
      <c r="Q109" s="161" t="str">
        <f>IFERROR(Relevante_Stoffströme[[#This Row],[Wert 
(Zahl)]]*Relevante_Stoffströme[[#This Row],[Scope 1 Emissionsfaktor '[kg CO2e/Einheit']]],"")</f>
        <v/>
      </c>
      <c r="R109" s="161" t="str">
        <f>IFERROR(Relevante_Stoffströme[[#This Row],[Wert 
(Zahl)]]*Relevante_Stoffströme[[#This Row],[Scope 2 Emissionsfaktor '[kg CO2e/Einheit']]],"")</f>
        <v/>
      </c>
      <c r="S109" s="161" t="str">
        <f>IFERROR(Relevante_Stoffströme[[#This Row],[Wert 
(Zahl)]]*Relevante_Stoffströme[[#This Row],[Scope 3.1 Emissionsfaktor '[kg CO2e/Einheit']]],"")</f>
        <v/>
      </c>
      <c r="T109" s="161" t="str">
        <f>IFERROR(Relevante_Stoffströme[[#This Row],[Wert 
(Zahl)]]*Relevante_Stoffströme[[#This Row],[Scope 3.5 Emissionsfaktor '[kg CO2e/Einheit']]],"")</f>
        <v/>
      </c>
    </row>
    <row r="110" spans="1:23" s="95" customFormat="1" x14ac:dyDescent="0.35">
      <c r="B110" s="418"/>
      <c r="C110" t="str">
        <f t="shared" si="3"/>
        <v>Relevante_Stoffströme</v>
      </c>
      <c r="D110" s="96"/>
      <c r="E110" s="96"/>
      <c r="F110" s="313"/>
      <c r="G110" s="10" t="str">
        <f>IFERROR(VLOOKUP(Relevante_Stoffströme[[#This Row],[Thema_Bezeichung]],EFs_3135[],4,FALSE),"")</f>
        <v/>
      </c>
      <c r="H110" s="96"/>
      <c r="I110" s="96"/>
      <c r="J110" s="96"/>
      <c r="K110" s="314" t="str">
        <f>IF(ISBLANK(Relevante_Stoffströme[[#This Row],[Wert 
(Zahl)]]),"",SUM(Relevante_Stoffströme[[#This Row],[Scope 1 Ergebnis location-based '[kg CO2e']]:[Scope 3.5 Ergebnis location-based '[kg CO2e']]]))</f>
        <v/>
      </c>
      <c r="L110" s="160" t="str">
        <f>IF(ISBLANK(Relevante_Stoffströme[[#This Row],[Emissionsquelle/Aktivität (Dropdown)]]),"",CONCATENATE(Relevante_Stoffströme[[#This Row],[Sektor_Thema]]," - ",Relevante_Stoffströme[[#This Row],[Emissionsquelle/Aktivität (Dropdown)]]))</f>
        <v/>
      </c>
      <c r="M110" s="161" t="str">
        <f>IFERROR(VLOOKUP(Relevante_Stoffströme[[#This Row],[Thema_Bezeichung]],EFs_3135[],5,FALSE),"")</f>
        <v/>
      </c>
      <c r="N110" s="161" t="str">
        <f>IFERROR(VLOOKUP(Relevante_Stoffströme[[#This Row],[Thema_Bezeichung]],EFs_3135[],6,FALSE),"")</f>
        <v/>
      </c>
      <c r="O110" s="161" t="str">
        <f>IFERROR(VLOOKUP(Relevante_Stoffströme[[#This Row],[Thema_Bezeichung]],EFs_3135[],7,FALSE),"")</f>
        <v/>
      </c>
      <c r="P110" s="161" t="str">
        <f>IFERROR(VLOOKUP(Relevante_Stoffströme[[#This Row],[Thema_Bezeichung]],EFs_3135[],8,FALSE),"")</f>
        <v/>
      </c>
      <c r="Q110" s="161" t="str">
        <f>IFERROR(Relevante_Stoffströme[[#This Row],[Wert 
(Zahl)]]*Relevante_Stoffströme[[#This Row],[Scope 1 Emissionsfaktor '[kg CO2e/Einheit']]],"")</f>
        <v/>
      </c>
      <c r="R110" s="161" t="str">
        <f>IFERROR(Relevante_Stoffströme[[#This Row],[Wert 
(Zahl)]]*Relevante_Stoffströme[[#This Row],[Scope 2 Emissionsfaktor '[kg CO2e/Einheit']]],"")</f>
        <v/>
      </c>
      <c r="S110" s="161" t="str">
        <f>IFERROR(Relevante_Stoffströme[[#This Row],[Wert 
(Zahl)]]*Relevante_Stoffströme[[#This Row],[Scope 3.1 Emissionsfaktor '[kg CO2e/Einheit']]],"")</f>
        <v/>
      </c>
      <c r="T110" s="161" t="str">
        <f>IFERROR(Relevante_Stoffströme[[#This Row],[Wert 
(Zahl)]]*Relevante_Stoffströme[[#This Row],[Scope 3.5 Emissionsfaktor '[kg CO2e/Einheit']]],"")</f>
        <v/>
      </c>
    </row>
    <row r="111" spans="1:23" s="95" customFormat="1" x14ac:dyDescent="0.35">
      <c r="B111" s="418"/>
      <c r="C111" t="str">
        <f t="shared" si="3"/>
        <v>Relevante_Stoffströme</v>
      </c>
      <c r="D111" s="96"/>
      <c r="E111" s="96"/>
      <c r="F111" s="313"/>
      <c r="G111" s="10" t="str">
        <f>IFERROR(VLOOKUP(Relevante_Stoffströme[[#This Row],[Thema_Bezeichung]],EFs_3135[],4,FALSE),"")</f>
        <v/>
      </c>
      <c r="H111" s="96"/>
      <c r="I111" s="96"/>
      <c r="J111" s="96"/>
      <c r="K111" s="314" t="str">
        <f>IF(ISBLANK(Relevante_Stoffströme[[#This Row],[Wert 
(Zahl)]]),"",SUM(Relevante_Stoffströme[[#This Row],[Scope 1 Ergebnis location-based '[kg CO2e']]:[Scope 3.5 Ergebnis location-based '[kg CO2e']]]))</f>
        <v/>
      </c>
      <c r="L111" s="160" t="str">
        <f>IF(ISBLANK(Relevante_Stoffströme[[#This Row],[Emissionsquelle/Aktivität (Dropdown)]]),"",CONCATENATE(Relevante_Stoffströme[[#This Row],[Sektor_Thema]]," - ",Relevante_Stoffströme[[#This Row],[Emissionsquelle/Aktivität (Dropdown)]]))</f>
        <v/>
      </c>
      <c r="M111" s="161" t="str">
        <f>IFERROR(VLOOKUP(Relevante_Stoffströme[[#This Row],[Thema_Bezeichung]],EFs_3135[],5,FALSE),"")</f>
        <v/>
      </c>
      <c r="N111" s="161" t="str">
        <f>IFERROR(VLOOKUP(Relevante_Stoffströme[[#This Row],[Thema_Bezeichung]],EFs_3135[],6,FALSE),"")</f>
        <v/>
      </c>
      <c r="O111" s="161" t="str">
        <f>IFERROR(VLOOKUP(Relevante_Stoffströme[[#This Row],[Thema_Bezeichung]],EFs_3135[],7,FALSE),"")</f>
        <v/>
      </c>
      <c r="P111" s="161" t="str">
        <f>IFERROR(VLOOKUP(Relevante_Stoffströme[[#This Row],[Thema_Bezeichung]],EFs_3135[],8,FALSE),"")</f>
        <v/>
      </c>
      <c r="Q111" s="161" t="str">
        <f>IFERROR(Relevante_Stoffströme[[#This Row],[Wert 
(Zahl)]]*Relevante_Stoffströme[[#This Row],[Scope 1 Emissionsfaktor '[kg CO2e/Einheit']]],"")</f>
        <v/>
      </c>
      <c r="R111" s="161" t="str">
        <f>IFERROR(Relevante_Stoffströme[[#This Row],[Wert 
(Zahl)]]*Relevante_Stoffströme[[#This Row],[Scope 2 Emissionsfaktor '[kg CO2e/Einheit']]],"")</f>
        <v/>
      </c>
      <c r="S111" s="161" t="str">
        <f>IFERROR(Relevante_Stoffströme[[#This Row],[Wert 
(Zahl)]]*Relevante_Stoffströme[[#This Row],[Scope 3.1 Emissionsfaktor '[kg CO2e/Einheit']]],"")</f>
        <v/>
      </c>
      <c r="T111" s="161" t="str">
        <f>IFERROR(Relevante_Stoffströme[[#This Row],[Wert 
(Zahl)]]*Relevante_Stoffströme[[#This Row],[Scope 3.5 Emissionsfaktor '[kg CO2e/Einheit']]],"")</f>
        <v/>
      </c>
    </row>
    <row r="112" spans="1:23" s="95" customFormat="1" x14ac:dyDescent="0.35">
      <c r="B112" s="418"/>
      <c r="C112" t="str">
        <f t="shared" si="3"/>
        <v>Relevante_Stoffströme</v>
      </c>
      <c r="D112" s="96"/>
      <c r="E112" s="96"/>
      <c r="F112" s="313"/>
      <c r="G112" s="10" t="str">
        <f>IFERROR(VLOOKUP(Relevante_Stoffströme[[#This Row],[Thema_Bezeichung]],EFs_3135[],4,FALSE),"")</f>
        <v/>
      </c>
      <c r="H112" s="96"/>
      <c r="I112" s="96"/>
      <c r="J112" s="96"/>
      <c r="K112" s="314" t="str">
        <f>IF(ISBLANK(Relevante_Stoffströme[[#This Row],[Wert 
(Zahl)]]),"",SUM(Relevante_Stoffströme[[#This Row],[Scope 1 Ergebnis location-based '[kg CO2e']]:[Scope 3.5 Ergebnis location-based '[kg CO2e']]]))</f>
        <v/>
      </c>
      <c r="L112" s="160" t="str">
        <f>IF(ISBLANK(Relevante_Stoffströme[[#This Row],[Emissionsquelle/Aktivität (Dropdown)]]),"",CONCATENATE(Relevante_Stoffströme[[#This Row],[Sektor_Thema]]," - ",Relevante_Stoffströme[[#This Row],[Emissionsquelle/Aktivität (Dropdown)]]))</f>
        <v/>
      </c>
      <c r="M112" s="161" t="str">
        <f>IFERROR(VLOOKUP(Relevante_Stoffströme[[#This Row],[Thema_Bezeichung]],EFs_3135[],5,FALSE),"")</f>
        <v/>
      </c>
      <c r="N112" s="161" t="str">
        <f>IFERROR(VLOOKUP(Relevante_Stoffströme[[#This Row],[Thema_Bezeichung]],EFs_3135[],6,FALSE),"")</f>
        <v/>
      </c>
      <c r="O112" s="161" t="str">
        <f>IFERROR(VLOOKUP(Relevante_Stoffströme[[#This Row],[Thema_Bezeichung]],EFs_3135[],7,FALSE),"")</f>
        <v/>
      </c>
      <c r="P112" s="161" t="str">
        <f>IFERROR(VLOOKUP(Relevante_Stoffströme[[#This Row],[Thema_Bezeichung]],EFs_3135[],8,FALSE),"")</f>
        <v/>
      </c>
      <c r="Q112" s="161" t="str">
        <f>IFERROR(Relevante_Stoffströme[[#This Row],[Wert 
(Zahl)]]*Relevante_Stoffströme[[#This Row],[Scope 1 Emissionsfaktor '[kg CO2e/Einheit']]],"")</f>
        <v/>
      </c>
      <c r="R112" s="161" t="str">
        <f>IFERROR(Relevante_Stoffströme[[#This Row],[Wert 
(Zahl)]]*Relevante_Stoffströme[[#This Row],[Scope 2 Emissionsfaktor '[kg CO2e/Einheit']]],"")</f>
        <v/>
      </c>
      <c r="S112" s="161" t="str">
        <f>IFERROR(Relevante_Stoffströme[[#This Row],[Wert 
(Zahl)]]*Relevante_Stoffströme[[#This Row],[Scope 3.1 Emissionsfaktor '[kg CO2e/Einheit']]],"")</f>
        <v/>
      </c>
      <c r="T112" s="161" t="str">
        <f>IFERROR(Relevante_Stoffströme[[#This Row],[Wert 
(Zahl)]]*Relevante_Stoffströme[[#This Row],[Scope 3.5 Emissionsfaktor '[kg CO2e/Einheit']]],"")</f>
        <v/>
      </c>
    </row>
    <row r="113" spans="2:20" s="95" customFormat="1" x14ac:dyDescent="0.35">
      <c r="B113" s="418"/>
      <c r="C113" t="str">
        <f t="shared" si="3"/>
        <v>Relevante_Stoffströme</v>
      </c>
      <c r="D113" s="96"/>
      <c r="E113" s="96"/>
      <c r="F113" s="313"/>
      <c r="G113" s="10" t="str">
        <f>IFERROR(VLOOKUP(Relevante_Stoffströme[[#This Row],[Thema_Bezeichung]],EFs_3135[],4,FALSE),"")</f>
        <v/>
      </c>
      <c r="H113" s="96"/>
      <c r="I113" s="96"/>
      <c r="J113" s="96"/>
      <c r="K113" s="314" t="str">
        <f>IF(ISBLANK(Relevante_Stoffströme[[#This Row],[Wert 
(Zahl)]]),"",SUM(Relevante_Stoffströme[[#This Row],[Scope 1 Ergebnis location-based '[kg CO2e']]:[Scope 3.5 Ergebnis location-based '[kg CO2e']]]))</f>
        <v/>
      </c>
      <c r="L113" s="160" t="str">
        <f>IF(ISBLANK(Relevante_Stoffströme[[#This Row],[Emissionsquelle/Aktivität (Dropdown)]]),"",CONCATENATE(Relevante_Stoffströme[[#This Row],[Sektor_Thema]]," - ",Relevante_Stoffströme[[#This Row],[Emissionsquelle/Aktivität (Dropdown)]]))</f>
        <v/>
      </c>
      <c r="M113" s="161" t="str">
        <f>IFERROR(VLOOKUP(Relevante_Stoffströme[[#This Row],[Thema_Bezeichung]],EFs_3135[],5,FALSE),"")</f>
        <v/>
      </c>
      <c r="N113" s="161" t="str">
        <f>IFERROR(VLOOKUP(Relevante_Stoffströme[[#This Row],[Thema_Bezeichung]],EFs_3135[],6,FALSE),"")</f>
        <v/>
      </c>
      <c r="O113" s="161" t="str">
        <f>IFERROR(VLOOKUP(Relevante_Stoffströme[[#This Row],[Thema_Bezeichung]],EFs_3135[],7,FALSE),"")</f>
        <v/>
      </c>
      <c r="P113" s="161" t="str">
        <f>IFERROR(VLOOKUP(Relevante_Stoffströme[[#This Row],[Thema_Bezeichung]],EFs_3135[],8,FALSE),"")</f>
        <v/>
      </c>
      <c r="Q113" s="161" t="str">
        <f>IFERROR(Relevante_Stoffströme[[#This Row],[Wert 
(Zahl)]]*Relevante_Stoffströme[[#This Row],[Scope 1 Emissionsfaktor '[kg CO2e/Einheit']]],"")</f>
        <v/>
      </c>
      <c r="R113" s="161" t="str">
        <f>IFERROR(Relevante_Stoffströme[[#This Row],[Wert 
(Zahl)]]*Relevante_Stoffströme[[#This Row],[Scope 2 Emissionsfaktor '[kg CO2e/Einheit']]],"")</f>
        <v/>
      </c>
      <c r="S113" s="161" t="str">
        <f>IFERROR(Relevante_Stoffströme[[#This Row],[Wert 
(Zahl)]]*Relevante_Stoffströme[[#This Row],[Scope 3.1 Emissionsfaktor '[kg CO2e/Einheit']]],"")</f>
        <v/>
      </c>
      <c r="T113" s="161" t="str">
        <f>IFERROR(Relevante_Stoffströme[[#This Row],[Wert 
(Zahl)]]*Relevante_Stoffströme[[#This Row],[Scope 3.5 Emissionsfaktor '[kg CO2e/Einheit']]],"")</f>
        <v/>
      </c>
    </row>
    <row r="114" spans="2:20" s="95" customFormat="1" x14ac:dyDescent="0.35">
      <c r="B114" s="418"/>
      <c r="C114" t="str">
        <f t="shared" si="3"/>
        <v>Relevante_Stoffströme</v>
      </c>
      <c r="D114" s="96"/>
      <c r="E114" s="96"/>
      <c r="F114" s="313"/>
      <c r="G114" s="10" t="str">
        <f>IFERROR(VLOOKUP(Relevante_Stoffströme[[#This Row],[Thema_Bezeichung]],EFs_3135[],4,FALSE),"")</f>
        <v/>
      </c>
      <c r="H114" s="96"/>
      <c r="I114" s="96"/>
      <c r="J114" s="96"/>
      <c r="K114" s="314" t="str">
        <f>IF(ISBLANK(Relevante_Stoffströme[[#This Row],[Wert 
(Zahl)]]),"",SUM(Relevante_Stoffströme[[#This Row],[Scope 1 Ergebnis location-based '[kg CO2e']]:[Scope 3.5 Ergebnis location-based '[kg CO2e']]]))</f>
        <v/>
      </c>
      <c r="L114" s="160" t="str">
        <f>IF(ISBLANK(Relevante_Stoffströme[[#This Row],[Emissionsquelle/Aktivität (Dropdown)]]),"",CONCATENATE(Relevante_Stoffströme[[#This Row],[Sektor_Thema]]," - ",Relevante_Stoffströme[[#This Row],[Emissionsquelle/Aktivität (Dropdown)]]))</f>
        <v/>
      </c>
      <c r="M114" s="161" t="str">
        <f>IFERROR(VLOOKUP(Relevante_Stoffströme[[#This Row],[Thema_Bezeichung]],EFs_3135[],5,FALSE),"")</f>
        <v/>
      </c>
      <c r="N114" s="161" t="str">
        <f>IFERROR(VLOOKUP(Relevante_Stoffströme[[#This Row],[Thema_Bezeichung]],EFs_3135[],6,FALSE),"")</f>
        <v/>
      </c>
      <c r="O114" s="161" t="str">
        <f>IFERROR(VLOOKUP(Relevante_Stoffströme[[#This Row],[Thema_Bezeichung]],EFs_3135[],7,FALSE),"")</f>
        <v/>
      </c>
      <c r="P114" s="161" t="str">
        <f>IFERROR(VLOOKUP(Relevante_Stoffströme[[#This Row],[Thema_Bezeichung]],EFs_3135[],8,FALSE),"")</f>
        <v/>
      </c>
      <c r="Q114" s="161" t="str">
        <f>IFERROR(Relevante_Stoffströme[[#This Row],[Wert 
(Zahl)]]*Relevante_Stoffströme[[#This Row],[Scope 1 Emissionsfaktor '[kg CO2e/Einheit']]],"")</f>
        <v/>
      </c>
      <c r="R114" s="161" t="str">
        <f>IFERROR(Relevante_Stoffströme[[#This Row],[Wert 
(Zahl)]]*Relevante_Stoffströme[[#This Row],[Scope 2 Emissionsfaktor '[kg CO2e/Einheit']]],"")</f>
        <v/>
      </c>
      <c r="S114" s="161" t="str">
        <f>IFERROR(Relevante_Stoffströme[[#This Row],[Wert 
(Zahl)]]*Relevante_Stoffströme[[#This Row],[Scope 3.1 Emissionsfaktor '[kg CO2e/Einheit']]],"")</f>
        <v/>
      </c>
      <c r="T114" s="161" t="str">
        <f>IFERROR(Relevante_Stoffströme[[#This Row],[Wert 
(Zahl)]]*Relevante_Stoffströme[[#This Row],[Scope 3.5 Emissionsfaktor '[kg CO2e/Einheit']]],"")</f>
        <v/>
      </c>
    </row>
    <row r="115" spans="2:20" s="95" customFormat="1" x14ac:dyDescent="0.35">
      <c r="B115" s="418"/>
      <c r="C115" t="str">
        <f t="shared" si="3"/>
        <v>Relevante_Stoffströme</v>
      </c>
      <c r="D115" s="96"/>
      <c r="E115" s="96"/>
      <c r="F115" s="313"/>
      <c r="G115" s="10" t="str">
        <f>IFERROR(VLOOKUP(Relevante_Stoffströme[[#This Row],[Thema_Bezeichung]],EFs_3135[],4,FALSE),"")</f>
        <v/>
      </c>
      <c r="H115" s="96"/>
      <c r="I115" s="96"/>
      <c r="J115" s="96"/>
      <c r="K115" s="314" t="str">
        <f>IF(ISBLANK(Relevante_Stoffströme[[#This Row],[Wert 
(Zahl)]]),"",SUM(Relevante_Stoffströme[[#This Row],[Scope 1 Ergebnis location-based '[kg CO2e']]:[Scope 3.5 Ergebnis location-based '[kg CO2e']]]))</f>
        <v/>
      </c>
      <c r="L115" s="160" t="str">
        <f>IF(ISBLANK(Relevante_Stoffströme[[#This Row],[Emissionsquelle/Aktivität (Dropdown)]]),"",CONCATENATE(Relevante_Stoffströme[[#This Row],[Sektor_Thema]]," - ",Relevante_Stoffströme[[#This Row],[Emissionsquelle/Aktivität (Dropdown)]]))</f>
        <v/>
      </c>
      <c r="M115" s="161" t="str">
        <f>IFERROR(VLOOKUP(Relevante_Stoffströme[[#This Row],[Thema_Bezeichung]],EFs_3135[],5,FALSE),"")</f>
        <v/>
      </c>
      <c r="N115" s="161" t="str">
        <f>IFERROR(VLOOKUP(Relevante_Stoffströme[[#This Row],[Thema_Bezeichung]],EFs_3135[],6,FALSE),"")</f>
        <v/>
      </c>
      <c r="O115" s="161" t="str">
        <f>IFERROR(VLOOKUP(Relevante_Stoffströme[[#This Row],[Thema_Bezeichung]],EFs_3135[],7,FALSE),"")</f>
        <v/>
      </c>
      <c r="P115" s="161" t="str">
        <f>IFERROR(VLOOKUP(Relevante_Stoffströme[[#This Row],[Thema_Bezeichung]],EFs_3135[],8,FALSE),"")</f>
        <v/>
      </c>
      <c r="Q115" s="161" t="str">
        <f>IFERROR(Relevante_Stoffströme[[#This Row],[Wert 
(Zahl)]]*Relevante_Stoffströme[[#This Row],[Scope 1 Emissionsfaktor '[kg CO2e/Einheit']]],"")</f>
        <v/>
      </c>
      <c r="R115" s="161" t="str">
        <f>IFERROR(Relevante_Stoffströme[[#This Row],[Wert 
(Zahl)]]*Relevante_Stoffströme[[#This Row],[Scope 2 Emissionsfaktor '[kg CO2e/Einheit']]],"")</f>
        <v/>
      </c>
      <c r="S115" s="161" t="str">
        <f>IFERROR(Relevante_Stoffströme[[#This Row],[Wert 
(Zahl)]]*Relevante_Stoffströme[[#This Row],[Scope 3.1 Emissionsfaktor '[kg CO2e/Einheit']]],"")</f>
        <v/>
      </c>
      <c r="T115" s="161" t="str">
        <f>IFERROR(Relevante_Stoffströme[[#This Row],[Wert 
(Zahl)]]*Relevante_Stoffströme[[#This Row],[Scope 3.5 Emissionsfaktor '[kg CO2e/Einheit']]],"")</f>
        <v/>
      </c>
    </row>
    <row r="116" spans="2:20" s="95" customFormat="1" x14ac:dyDescent="0.35">
      <c r="B116" s="418"/>
      <c r="C116" t="str">
        <f t="shared" si="3"/>
        <v>Relevante_Stoffströme</v>
      </c>
      <c r="D116" s="96"/>
      <c r="E116" s="96"/>
      <c r="F116" s="313"/>
      <c r="G116" s="10" t="str">
        <f>IFERROR(VLOOKUP(Relevante_Stoffströme[[#This Row],[Thema_Bezeichung]],EFs_3135[],4,FALSE),"")</f>
        <v/>
      </c>
      <c r="H116" s="96"/>
      <c r="I116" s="96"/>
      <c r="J116" s="96"/>
      <c r="K116" s="314" t="str">
        <f>IF(ISBLANK(Relevante_Stoffströme[[#This Row],[Wert 
(Zahl)]]),"",SUM(Relevante_Stoffströme[[#This Row],[Scope 1 Ergebnis location-based '[kg CO2e']]:[Scope 3.5 Ergebnis location-based '[kg CO2e']]]))</f>
        <v/>
      </c>
      <c r="L116" s="160" t="str">
        <f>IF(ISBLANK(Relevante_Stoffströme[[#This Row],[Emissionsquelle/Aktivität (Dropdown)]]),"",CONCATENATE(Relevante_Stoffströme[[#This Row],[Sektor_Thema]]," - ",Relevante_Stoffströme[[#This Row],[Emissionsquelle/Aktivität (Dropdown)]]))</f>
        <v/>
      </c>
      <c r="M116" s="161" t="str">
        <f>IFERROR(VLOOKUP(Relevante_Stoffströme[[#This Row],[Thema_Bezeichung]],EFs_3135[],5,FALSE),"")</f>
        <v/>
      </c>
      <c r="N116" s="161" t="str">
        <f>IFERROR(VLOOKUP(Relevante_Stoffströme[[#This Row],[Thema_Bezeichung]],EFs_3135[],6,FALSE),"")</f>
        <v/>
      </c>
      <c r="O116" s="161" t="str">
        <f>IFERROR(VLOOKUP(Relevante_Stoffströme[[#This Row],[Thema_Bezeichung]],EFs_3135[],7,FALSE),"")</f>
        <v/>
      </c>
      <c r="P116" s="161" t="str">
        <f>IFERROR(VLOOKUP(Relevante_Stoffströme[[#This Row],[Thema_Bezeichung]],EFs_3135[],8,FALSE),"")</f>
        <v/>
      </c>
      <c r="Q116" s="161" t="str">
        <f>IFERROR(Relevante_Stoffströme[[#This Row],[Wert 
(Zahl)]]*Relevante_Stoffströme[[#This Row],[Scope 1 Emissionsfaktor '[kg CO2e/Einheit']]],"")</f>
        <v/>
      </c>
      <c r="R116" s="161" t="str">
        <f>IFERROR(Relevante_Stoffströme[[#This Row],[Wert 
(Zahl)]]*Relevante_Stoffströme[[#This Row],[Scope 2 Emissionsfaktor '[kg CO2e/Einheit']]],"")</f>
        <v/>
      </c>
      <c r="S116" s="161" t="str">
        <f>IFERROR(Relevante_Stoffströme[[#This Row],[Wert 
(Zahl)]]*Relevante_Stoffströme[[#This Row],[Scope 3.1 Emissionsfaktor '[kg CO2e/Einheit']]],"")</f>
        <v/>
      </c>
      <c r="T116" s="161" t="str">
        <f>IFERROR(Relevante_Stoffströme[[#This Row],[Wert 
(Zahl)]]*Relevante_Stoffströme[[#This Row],[Scope 3.5 Emissionsfaktor '[kg CO2e/Einheit']]],"")</f>
        <v/>
      </c>
    </row>
    <row r="117" spans="2:20" s="95" customFormat="1" x14ac:dyDescent="0.35">
      <c r="B117" s="418"/>
      <c r="C117" t="str">
        <f t="shared" si="3"/>
        <v>Relevante_Stoffströme</v>
      </c>
      <c r="D117" s="96"/>
      <c r="E117" s="96"/>
      <c r="F117" s="313"/>
      <c r="G117" s="10" t="str">
        <f>IFERROR(VLOOKUP(Relevante_Stoffströme[[#This Row],[Thema_Bezeichung]],EFs_3135[],4,FALSE),"")</f>
        <v/>
      </c>
      <c r="H117" s="96"/>
      <c r="I117" s="96"/>
      <c r="J117" s="96"/>
      <c r="K117" s="314" t="str">
        <f>IF(ISBLANK(Relevante_Stoffströme[[#This Row],[Wert 
(Zahl)]]),"",SUM(Relevante_Stoffströme[[#This Row],[Scope 1 Ergebnis location-based '[kg CO2e']]:[Scope 3.5 Ergebnis location-based '[kg CO2e']]]))</f>
        <v/>
      </c>
      <c r="L117" s="160" t="str">
        <f>IF(ISBLANK(Relevante_Stoffströme[[#This Row],[Emissionsquelle/Aktivität (Dropdown)]]),"",CONCATENATE(Relevante_Stoffströme[[#This Row],[Sektor_Thema]]," - ",Relevante_Stoffströme[[#This Row],[Emissionsquelle/Aktivität (Dropdown)]]))</f>
        <v/>
      </c>
      <c r="M117" s="161" t="str">
        <f>IFERROR(VLOOKUP(Relevante_Stoffströme[[#This Row],[Thema_Bezeichung]],EFs_3135[],5,FALSE),"")</f>
        <v/>
      </c>
      <c r="N117" s="161" t="str">
        <f>IFERROR(VLOOKUP(Relevante_Stoffströme[[#This Row],[Thema_Bezeichung]],EFs_3135[],6,FALSE),"")</f>
        <v/>
      </c>
      <c r="O117" s="161" t="str">
        <f>IFERROR(VLOOKUP(Relevante_Stoffströme[[#This Row],[Thema_Bezeichung]],EFs_3135[],7,FALSE),"")</f>
        <v/>
      </c>
      <c r="P117" s="161" t="str">
        <f>IFERROR(VLOOKUP(Relevante_Stoffströme[[#This Row],[Thema_Bezeichung]],EFs_3135[],8,FALSE),"")</f>
        <v/>
      </c>
      <c r="Q117" s="161" t="str">
        <f>IFERROR(Relevante_Stoffströme[[#This Row],[Wert 
(Zahl)]]*Relevante_Stoffströme[[#This Row],[Scope 1 Emissionsfaktor '[kg CO2e/Einheit']]],"")</f>
        <v/>
      </c>
      <c r="R117" s="161" t="str">
        <f>IFERROR(Relevante_Stoffströme[[#This Row],[Wert 
(Zahl)]]*Relevante_Stoffströme[[#This Row],[Scope 2 Emissionsfaktor '[kg CO2e/Einheit']]],"")</f>
        <v/>
      </c>
      <c r="S117" s="161" t="str">
        <f>IFERROR(Relevante_Stoffströme[[#This Row],[Wert 
(Zahl)]]*Relevante_Stoffströme[[#This Row],[Scope 3.1 Emissionsfaktor '[kg CO2e/Einheit']]],"")</f>
        <v/>
      </c>
      <c r="T117" s="161" t="str">
        <f>IFERROR(Relevante_Stoffströme[[#This Row],[Wert 
(Zahl)]]*Relevante_Stoffströme[[#This Row],[Scope 3.5 Emissionsfaktor '[kg CO2e/Einheit']]],"")</f>
        <v/>
      </c>
    </row>
    <row r="118" spans="2:20" s="95" customFormat="1" x14ac:dyDescent="0.35">
      <c r="B118" s="418"/>
      <c r="C118" t="str">
        <f t="shared" si="3"/>
        <v>Relevante_Stoffströme</v>
      </c>
      <c r="D118" s="96"/>
      <c r="E118" s="96"/>
      <c r="F118" s="313"/>
      <c r="G118" s="10" t="str">
        <f>IFERROR(VLOOKUP(Relevante_Stoffströme[[#This Row],[Thema_Bezeichung]],EFs_3135[],4,FALSE),"")</f>
        <v/>
      </c>
      <c r="H118" s="96"/>
      <c r="I118" s="96"/>
      <c r="J118" s="96"/>
      <c r="K118" s="314" t="str">
        <f>IF(ISBLANK(Relevante_Stoffströme[[#This Row],[Wert 
(Zahl)]]),"",SUM(Relevante_Stoffströme[[#This Row],[Scope 1 Ergebnis location-based '[kg CO2e']]:[Scope 3.5 Ergebnis location-based '[kg CO2e']]]))</f>
        <v/>
      </c>
      <c r="L118" s="160" t="str">
        <f>IF(ISBLANK(Relevante_Stoffströme[[#This Row],[Emissionsquelle/Aktivität (Dropdown)]]),"",CONCATENATE(Relevante_Stoffströme[[#This Row],[Sektor_Thema]]," - ",Relevante_Stoffströme[[#This Row],[Emissionsquelle/Aktivität (Dropdown)]]))</f>
        <v/>
      </c>
      <c r="M118" s="161" t="str">
        <f>IFERROR(VLOOKUP(Relevante_Stoffströme[[#This Row],[Thema_Bezeichung]],EFs_3135[],5,FALSE),"")</f>
        <v/>
      </c>
      <c r="N118" s="161" t="str">
        <f>IFERROR(VLOOKUP(Relevante_Stoffströme[[#This Row],[Thema_Bezeichung]],EFs_3135[],6,FALSE),"")</f>
        <v/>
      </c>
      <c r="O118" s="161" t="str">
        <f>IFERROR(VLOOKUP(Relevante_Stoffströme[[#This Row],[Thema_Bezeichung]],EFs_3135[],7,FALSE),"")</f>
        <v/>
      </c>
      <c r="P118" s="161" t="str">
        <f>IFERROR(VLOOKUP(Relevante_Stoffströme[[#This Row],[Thema_Bezeichung]],EFs_3135[],8,FALSE),"")</f>
        <v/>
      </c>
      <c r="Q118" s="161" t="str">
        <f>IFERROR(Relevante_Stoffströme[[#This Row],[Wert 
(Zahl)]]*Relevante_Stoffströme[[#This Row],[Scope 1 Emissionsfaktor '[kg CO2e/Einheit']]],"")</f>
        <v/>
      </c>
      <c r="R118" s="161" t="str">
        <f>IFERROR(Relevante_Stoffströme[[#This Row],[Wert 
(Zahl)]]*Relevante_Stoffströme[[#This Row],[Scope 2 Emissionsfaktor '[kg CO2e/Einheit']]],"")</f>
        <v/>
      </c>
      <c r="S118" s="161" t="str">
        <f>IFERROR(Relevante_Stoffströme[[#This Row],[Wert 
(Zahl)]]*Relevante_Stoffströme[[#This Row],[Scope 3.1 Emissionsfaktor '[kg CO2e/Einheit']]],"")</f>
        <v/>
      </c>
      <c r="T118" s="161" t="str">
        <f>IFERROR(Relevante_Stoffströme[[#This Row],[Wert 
(Zahl)]]*Relevante_Stoffströme[[#This Row],[Scope 3.5 Emissionsfaktor '[kg CO2e/Einheit']]],"")</f>
        <v/>
      </c>
    </row>
    <row r="119" spans="2:20" s="95" customFormat="1" x14ac:dyDescent="0.35">
      <c r="B119" s="418"/>
      <c r="C119" s="95" t="str">
        <f t="shared" si="3"/>
        <v>Relevante_Stoffströme</v>
      </c>
      <c r="D119" s="96"/>
      <c r="E119" s="96"/>
      <c r="F119" s="313"/>
      <c r="G119" s="96" t="str">
        <f>IFERROR(VLOOKUP(Relevante_Stoffströme[[#This Row],[Thema_Bezeichung]],EFs_3135[],4,FALSE),"")</f>
        <v/>
      </c>
      <c r="H119" s="96"/>
      <c r="I119" s="96"/>
      <c r="J119" s="96"/>
      <c r="K119" s="315" t="str">
        <f>IF(ISBLANK(Relevante_Stoffströme[[#This Row],[Wert 
(Zahl)]]),"",SUM(Relevante_Stoffströme[[#This Row],[Scope 1 Ergebnis location-based '[kg CO2e']]:[Scope 3.5 Ergebnis location-based '[kg CO2e']]]))</f>
        <v/>
      </c>
      <c r="L119" s="162" t="str">
        <f>IF(ISBLANK(Relevante_Stoffströme[[#This Row],[Emissionsquelle/Aktivität (Dropdown)]]),"",CONCATENATE(Relevante_Stoffströme[[#This Row],[Sektor_Thema]]," - ",Relevante_Stoffströme[[#This Row],[Emissionsquelle/Aktivität (Dropdown)]]))</f>
        <v/>
      </c>
      <c r="M119" s="163" t="str">
        <f>IFERROR(VLOOKUP(Relevante_Stoffströme[[#This Row],[Thema_Bezeichung]],EFs_3135[],5,FALSE),"")</f>
        <v/>
      </c>
      <c r="N119" s="163" t="str">
        <f>IFERROR(VLOOKUP(Relevante_Stoffströme[[#This Row],[Thema_Bezeichung]],EFs_3135[],6,FALSE),"")</f>
        <v/>
      </c>
      <c r="O119" s="163" t="str">
        <f>IFERROR(VLOOKUP(Relevante_Stoffströme[[#This Row],[Thema_Bezeichung]],EFs_3135[],7,FALSE),"")</f>
        <v/>
      </c>
      <c r="P119" s="163" t="str">
        <f>IFERROR(VLOOKUP(Relevante_Stoffströme[[#This Row],[Thema_Bezeichung]],EFs_3135[],8,FALSE),"")</f>
        <v/>
      </c>
      <c r="Q119" s="163" t="str">
        <f>IFERROR(Relevante_Stoffströme[[#This Row],[Wert 
(Zahl)]]*Relevante_Stoffströme[[#This Row],[Scope 1 Emissionsfaktor '[kg CO2e/Einheit']]],"")</f>
        <v/>
      </c>
      <c r="R119" s="163" t="str">
        <f>IFERROR(Relevante_Stoffströme[[#This Row],[Wert 
(Zahl)]]*Relevante_Stoffströme[[#This Row],[Scope 2 Emissionsfaktor '[kg CO2e/Einheit']]],"")</f>
        <v/>
      </c>
      <c r="S119" s="163" t="str">
        <f>IFERROR(Relevante_Stoffströme[[#This Row],[Wert 
(Zahl)]]*Relevante_Stoffströme[[#This Row],[Scope 3.1 Emissionsfaktor '[kg CO2e/Einheit']]],"")</f>
        <v/>
      </c>
      <c r="T119" s="163" t="str">
        <f>IFERROR(Relevante_Stoffströme[[#This Row],[Wert 
(Zahl)]]*Relevante_Stoffströme[[#This Row],[Scope 3.5 Emissionsfaktor '[kg CO2e/Einheit']]],"")</f>
        <v/>
      </c>
    </row>
    <row r="120" spans="2:20" s="95" customFormat="1" ht="15" thickBot="1" x14ac:dyDescent="0.4">
      <c r="B120" s="419"/>
      <c r="C120" s="95" t="str">
        <f t="shared" si="3"/>
        <v>Relevante_Stoffströme</v>
      </c>
      <c r="D120" s="96"/>
      <c r="E120" s="96"/>
      <c r="F120" s="313"/>
      <c r="G120" s="96" t="str">
        <f>IFERROR(VLOOKUP(Relevante_Stoffströme[[#This Row],[Thema_Bezeichung]],EFs_3135[],4,FALSE),"")</f>
        <v/>
      </c>
      <c r="H120" s="96"/>
      <c r="I120" s="96"/>
      <c r="J120" s="96"/>
      <c r="K120" s="315" t="str">
        <f>IF(ISBLANK(Relevante_Stoffströme[[#This Row],[Wert 
(Zahl)]]),"",SUM(Relevante_Stoffströme[[#This Row],[Scope 1 Ergebnis location-based '[kg CO2e']]:[Scope 3.5 Ergebnis location-based '[kg CO2e']]]))</f>
        <v/>
      </c>
      <c r="L120" s="162" t="str">
        <f>IF(ISBLANK(Relevante_Stoffströme[[#This Row],[Emissionsquelle/Aktivität (Dropdown)]]),"",CONCATENATE(Relevante_Stoffströme[[#This Row],[Sektor_Thema]]," - ",Relevante_Stoffströme[[#This Row],[Emissionsquelle/Aktivität (Dropdown)]]))</f>
        <v/>
      </c>
      <c r="M120" s="163" t="str">
        <f>IFERROR(VLOOKUP(Relevante_Stoffströme[[#This Row],[Thema_Bezeichung]],EFs_3135[],5,FALSE),"")</f>
        <v/>
      </c>
      <c r="N120" s="163" t="str">
        <f>IFERROR(VLOOKUP(Relevante_Stoffströme[[#This Row],[Thema_Bezeichung]],EFs_3135[],6,FALSE),"")</f>
        <v/>
      </c>
      <c r="O120" s="163" t="str">
        <f>IFERROR(VLOOKUP(Relevante_Stoffströme[[#This Row],[Thema_Bezeichung]],EFs_3135[],7,FALSE),"")</f>
        <v/>
      </c>
      <c r="P120" s="163" t="str">
        <f>IFERROR(VLOOKUP(Relevante_Stoffströme[[#This Row],[Thema_Bezeichung]],EFs_3135[],8,FALSE),"")</f>
        <v/>
      </c>
      <c r="Q120" s="163" t="str">
        <f>IFERROR(Relevante_Stoffströme[[#This Row],[Wert 
(Zahl)]]*Relevante_Stoffströme[[#This Row],[Scope 1 Emissionsfaktor '[kg CO2e/Einheit']]],"")</f>
        <v/>
      </c>
      <c r="R120" s="163" t="str">
        <f>IFERROR(Relevante_Stoffströme[[#This Row],[Wert 
(Zahl)]]*Relevante_Stoffströme[[#This Row],[Scope 2 Emissionsfaktor '[kg CO2e/Einheit']]],"")</f>
        <v/>
      </c>
      <c r="S120" s="163" t="str">
        <f>IFERROR(Relevante_Stoffströme[[#This Row],[Wert 
(Zahl)]]*Relevante_Stoffströme[[#This Row],[Scope 3.1 Emissionsfaktor '[kg CO2e/Einheit']]],"")</f>
        <v/>
      </c>
      <c r="T120" s="163" t="str">
        <f>IFERROR(Relevante_Stoffströme[[#This Row],[Wert 
(Zahl)]]*Relevante_Stoffströme[[#This Row],[Scope 3.5 Emissionsfaktor '[kg CO2e/Einheit']]],"")</f>
        <v/>
      </c>
    </row>
    <row r="121" spans="2:20" s="2" customFormat="1" ht="15" thickTop="1" x14ac:dyDescent="0.35">
      <c r="D121" s="2" t="s">
        <v>226</v>
      </c>
      <c r="K121" s="316">
        <f>SUBTOTAL(109,Relevante_Stoffströme[Ergebnis '[kg CO2e'] (vorausgefüllt)])</f>
        <v>0</v>
      </c>
      <c r="L121" s="117"/>
      <c r="M121" s="117"/>
      <c r="N121" s="117"/>
      <c r="O121" s="117"/>
      <c r="P121" s="117"/>
      <c r="Q121" s="117">
        <f>SUBTOTAL(109,Relevante_Stoffströme[Scope 1 Ergebnis location-based '[kg CO2e']])</f>
        <v>0</v>
      </c>
      <c r="R121" s="117">
        <f>SUBTOTAL(109,Relevante_Stoffströme[Scope 2 Ergebnis location-based '[kg CO2e']])</f>
        <v>0</v>
      </c>
      <c r="S121" s="117">
        <f>SUBTOTAL(109,Relevante_Stoffströme[Scope 3.1 Ergebnis location-based '[kg CO2e']])</f>
        <v>0</v>
      </c>
      <c r="T121" s="117">
        <f>SUBTOTAL(109,Relevante_Stoffströme[Scope 3.5 Ergebnis location-based '[kg CO2e']])</f>
        <v>0</v>
      </c>
    </row>
    <row r="122" spans="2:20" ht="121.5" customHeight="1" x14ac:dyDescent="0.35">
      <c r="B122" s="197" t="s">
        <v>85</v>
      </c>
    </row>
  </sheetData>
  <sheetProtection algorithmName="SHA-512" hashValue="FcpGk/s/1Npt+nsN7AKU9nlYa0wNfLrA6hZoxe5Ew5R/32iGRJW1AOL3DP8m3DzT1JHn82HqhyaTEhrgOqxwNw==" saltValue="irVBm30941eR0nInKkVGWA==" spinCount="100000" sheet="1" insertRows="0"/>
  <mergeCells count="10">
    <mergeCell ref="B5:G5"/>
    <mergeCell ref="B101:B120"/>
    <mergeCell ref="B10:B13"/>
    <mergeCell ref="B74:B93"/>
    <mergeCell ref="B20:B39"/>
    <mergeCell ref="B47:B66"/>
    <mergeCell ref="D44:I44"/>
    <mergeCell ref="D17:I17"/>
    <mergeCell ref="D71:I71"/>
    <mergeCell ref="D98:I98"/>
  </mergeCells>
  <phoneticPr fontId="2" type="noConversion"/>
  <dataValidations count="10">
    <dataValidation type="decimal" operator="notEqual" allowBlank="1" showInputMessage="1" showErrorMessage="1" errorTitle="Ungültiger Wert!" error="Bitte tragen Sie eine Zahl ein." sqref="F74 F101:F104 F47" xr:uid="{957089BB-9D41-43BC-8DE5-278288C7030C}">
      <formula1>0</formula1>
    </dataValidation>
    <dataValidation type="list" allowBlank="1" showInputMessage="1" showErrorMessage="1" sqref="C18 C72 C99" xr:uid="{5426657F-FFA5-4AFC-887F-117B6CEBB7CA}">
      <formula1>Thema_</formula1>
    </dataValidation>
    <dataValidation type="list" allowBlank="1" showInputMessage="1" showErrorMessage="1" sqref="D95 D74:D93 D115:D120 D101:D113 D20:D39 D47:D66" xr:uid="{BB6A68F0-052C-4D45-80B4-BE0AD213DFC7}">
      <formula1>Gliederungselemente</formula1>
    </dataValidation>
    <dataValidation type="list" allowBlank="1" showInputMessage="1" showErrorMessage="1" sqref="E101:E120" xr:uid="{05269A53-ACB0-418A-8515-535A62CF0613}">
      <formula1>DD_Relevante_Stoffströme</formula1>
    </dataValidation>
    <dataValidation type="list" allowBlank="1" showInputMessage="1" showErrorMessage="1" sqref="E74:E93" xr:uid="{FFFD3E14-CC0E-4E9B-939C-4B3123961CB3}">
      <formula1>DD_IT_Dienstleistungen</formula1>
    </dataValidation>
    <dataValidation type="list" allowBlank="1" showInputMessage="1" showErrorMessage="1" sqref="E20:E39" xr:uid="{2BC95FEB-85A0-4BD3-A515-6C62B7FA3139}">
      <formula1>DD_Anreise_Besuchende</formula1>
    </dataValidation>
    <dataValidation type="list" allowBlank="1" showInputMessage="1" showErrorMessage="1" sqref="E95" xr:uid="{94214FCD-9988-4024-8FC7-7BFA90D0E21C}">
      <formula1>INDIRECT($B95)</formula1>
    </dataValidation>
    <dataValidation type="list" allowBlank="1" showInputMessage="1" showErrorMessage="1" sqref="E47:E66" xr:uid="{E4B5BBB3-77BC-490C-A820-E0F599E62B73}">
      <formula1>DD_Bücher_CDs_DVDs</formula1>
    </dataValidation>
    <dataValidation type="list" allowBlank="1" showInputMessage="1" showErrorMessage="1" sqref="C45" xr:uid="{60FBAEA9-E023-4A61-9691-F22162802AD3}">
      <formula1>DD_Thema</formula1>
    </dataValidation>
    <dataValidation type="list" allowBlank="1" showInputMessage="1" showErrorMessage="1" sqref="E68" xr:uid="{7C3EA488-D35E-43E5-A53A-DDF949F63EA2}">
      <formula1>INDIRECT($C68)</formula1>
    </dataValidation>
  </dataValidations>
  <hyperlinks>
    <hyperlink ref="B15" location="'Daten KlimaBilanzKultur+'!B7:G13" display="Zurück zur Übersicht" xr:uid="{C738BD2C-78B9-4D55-841A-4EE8CE586080}"/>
    <hyperlink ref="E10:E13" location="'Datenerfassung (3)'!F23:F42" display="Energie_Wärme" xr:uid="{8419271F-A3B5-43C2-BBC2-7B6E70A22FBC}"/>
    <hyperlink ref="E10" location="Bez_Anreise_der_Besuchenden" display="Anreise der Besuchenden" xr:uid="{7738F895-C3CD-408E-9990-0E123E02C483}"/>
    <hyperlink ref="E12" location="Bez_IT" display="IT-Dienstleistungen" xr:uid="{3139D555-518A-4FB2-B2C5-0BA24C3BCAD3}"/>
    <hyperlink ref="E13" location="Bez_Relevante_Stoffströme" display="Relevante Stoffströme" xr:uid="{06A35038-2AD3-489A-BC1A-3F1D4EE60857}"/>
    <hyperlink ref="E11" location="Bez_Medien" display="Medien" xr:uid="{D8D5E762-BCBB-4919-84FC-C85FE0470B72}"/>
    <hyperlink ref="B42" location="'Daten KlimaBilanzKultur+'!B7:G13" display="Zurück zur Übersicht" xr:uid="{9E5A9AFA-5601-4E6F-A8D2-E4F76653D847}"/>
    <hyperlink ref="B69" location="'Daten KlimaBilanzKultur+'!B7:G13" display="Zurück zur Übersicht" xr:uid="{73E5901A-C807-4C31-932E-FC794B14E41A}"/>
    <hyperlink ref="B96" location="'Daten KlimaBilanzKultur+'!B7:G13" display="Zurück zur Übersicht" xr:uid="{7D745A83-CFDA-469D-A387-51A2C737D5C1}"/>
  </hyperlink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1" r:id="rId3" name="Check Box 11">
              <controlPr defaultSize="0" autoFill="0" autoLine="0" autoPict="0">
                <anchor moveWithCells="1">
                  <from>
                    <xdr:col>6</xdr:col>
                    <xdr:colOff>495300</xdr:colOff>
                    <xdr:row>11</xdr:row>
                    <xdr:rowOff>31750</xdr:rowOff>
                  </from>
                  <to>
                    <xdr:col>6</xdr:col>
                    <xdr:colOff>698500</xdr:colOff>
                    <xdr:row>11</xdr:row>
                    <xdr:rowOff>203200</xdr:rowOff>
                  </to>
                </anchor>
              </controlPr>
            </control>
          </mc:Choice>
        </mc:AlternateContent>
        <mc:AlternateContent xmlns:mc="http://schemas.openxmlformats.org/markup-compatibility/2006">
          <mc:Choice Requires="x14">
            <control shapeId="30732" r:id="rId4" name="Check Box 12">
              <controlPr defaultSize="0" autoFill="0" autoLine="0" autoPict="0">
                <anchor moveWithCells="1">
                  <from>
                    <xdr:col>6</xdr:col>
                    <xdr:colOff>495300</xdr:colOff>
                    <xdr:row>12</xdr:row>
                    <xdr:rowOff>31750</xdr:rowOff>
                  </from>
                  <to>
                    <xdr:col>6</xdr:col>
                    <xdr:colOff>698500</xdr:colOff>
                    <xdr:row>12</xdr:row>
                    <xdr:rowOff>203200</xdr:rowOff>
                  </to>
                </anchor>
              </controlPr>
            </control>
          </mc:Choice>
        </mc:AlternateContent>
        <mc:AlternateContent xmlns:mc="http://schemas.openxmlformats.org/markup-compatibility/2006">
          <mc:Choice Requires="x14">
            <control shapeId="30735" r:id="rId5" name="Check Box 15">
              <controlPr defaultSize="0" autoFill="0" autoLine="0" autoPict="0">
                <anchor moveWithCells="1">
                  <from>
                    <xdr:col>6</xdr:col>
                    <xdr:colOff>495300</xdr:colOff>
                    <xdr:row>9</xdr:row>
                    <xdr:rowOff>31750</xdr:rowOff>
                  </from>
                  <to>
                    <xdr:col>6</xdr:col>
                    <xdr:colOff>698500</xdr:colOff>
                    <xdr:row>9</xdr:row>
                    <xdr:rowOff>222250</xdr:rowOff>
                  </to>
                </anchor>
              </controlPr>
            </control>
          </mc:Choice>
        </mc:AlternateContent>
        <mc:AlternateContent xmlns:mc="http://schemas.openxmlformats.org/markup-compatibility/2006">
          <mc:Choice Requires="x14">
            <control shapeId="30736" r:id="rId6" name="Check Box 16">
              <controlPr defaultSize="0" autoFill="0" autoLine="0" autoPict="0">
                <anchor moveWithCells="1">
                  <from>
                    <xdr:col>6</xdr:col>
                    <xdr:colOff>495300</xdr:colOff>
                    <xdr:row>10</xdr:row>
                    <xdr:rowOff>31750</xdr:rowOff>
                  </from>
                  <to>
                    <xdr:col>6</xdr:col>
                    <xdr:colOff>698500</xdr:colOff>
                    <xdr:row>10</xdr:row>
                    <xdr:rowOff>222250</xdr:rowOff>
                  </to>
                </anchor>
              </controlPr>
            </control>
          </mc:Choice>
        </mc:AlternateContent>
      </controls>
    </mc:Choice>
  </mc:AlternateContent>
  <tableParts count="4">
    <tablePart r:id="rId7"/>
    <tablePart r:id="rId8"/>
    <tablePart r:id="rId9"/>
    <tablePart r:id="rId10"/>
  </tableParts>
  <extLst>
    <ext xmlns:x14="http://schemas.microsoft.com/office/spreadsheetml/2009/9/main" uri="{CCE6A557-97BC-4b89-ADB6-D9C93CAAB3DF}">
      <x14:dataValidations xmlns:xm="http://schemas.microsoft.com/office/excel/2006/main" count="1">
        <x14:dataValidation type="list" allowBlank="1" showInputMessage="1" showErrorMessage="1" xr:uid="{D1B26F86-E3A9-41C3-97CC-0D8162FDD9EC}">
          <x14:formula1>
            <xm:f>INDIRECT(Dropdowns!$B$80)</xm:f>
          </x14:formula1>
          <xm:sqref>H101:H120 H20:H39 H74:H93 H95 H68 H47:H66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8F99E-07A7-400B-9A47-AA1C3C1EDBF6}">
  <sheetPr>
    <tabColor rgb="FFBBE8FF"/>
  </sheetPr>
  <dimension ref="A3:W122"/>
  <sheetViews>
    <sheetView showGridLines="0" workbookViewId="0"/>
  </sheetViews>
  <sheetFormatPr baseColWidth="10" defaultRowHeight="14.5" x14ac:dyDescent="0.35"/>
  <cols>
    <col min="1" max="1" width="8.7265625" customWidth="1"/>
    <col min="3" max="3" width="25.453125" customWidth="1"/>
    <col min="4" max="4" width="28.453125" customWidth="1"/>
    <col min="5" max="5" width="33.453125" customWidth="1"/>
    <col min="6" max="6" width="30.453125" customWidth="1"/>
  </cols>
  <sheetData>
    <row r="3" spans="1:23" x14ac:dyDescent="0.35">
      <c r="B3" s="30" t="str">
        <f>IF(ISBLANK(Stammdaten!$C$8),"",Stammdaten!$C$8)</f>
        <v/>
      </c>
    </row>
    <row r="4" spans="1:23" ht="18.5" x14ac:dyDescent="0.45">
      <c r="B4" s="134" t="s">
        <v>199</v>
      </c>
      <c r="F4" s="5"/>
    </row>
    <row r="5" spans="1:23" ht="69" customHeight="1" x14ac:dyDescent="0.35">
      <c r="B5" s="409" t="s">
        <v>418</v>
      </c>
      <c r="C5" s="409"/>
      <c r="D5" s="409"/>
      <c r="E5" s="409"/>
      <c r="F5" s="409"/>
      <c r="G5" s="31"/>
    </row>
    <row r="6" spans="1:23" ht="18.5" x14ac:dyDescent="0.45">
      <c r="B6" s="16"/>
      <c r="F6" s="5"/>
    </row>
    <row r="7" spans="1:23" ht="18.5" x14ac:dyDescent="0.45">
      <c r="B7" s="134" t="s">
        <v>216</v>
      </c>
      <c r="F7" s="5"/>
    </row>
    <row r="8" spans="1:23" ht="4.5" customHeight="1" x14ac:dyDescent="0.45">
      <c r="B8" s="16"/>
      <c r="F8" s="5"/>
    </row>
    <row r="9" spans="1:23" ht="29.5" thickBot="1" x14ac:dyDescent="0.4">
      <c r="C9" s="146" t="s">
        <v>17</v>
      </c>
      <c r="D9" s="147" t="s">
        <v>366</v>
      </c>
      <c r="E9" s="148" t="s">
        <v>134</v>
      </c>
      <c r="F9" s="148" t="s">
        <v>215</v>
      </c>
    </row>
    <row r="10" spans="1:23" s="9" customFormat="1" ht="18" customHeight="1" thickTop="1" x14ac:dyDescent="0.35">
      <c r="B10" s="428" t="s">
        <v>225</v>
      </c>
      <c r="C10" s="149" t="s">
        <v>20</v>
      </c>
      <c r="D10" s="155" t="s">
        <v>217</v>
      </c>
      <c r="E10" s="143" t="str">
        <f>IF(Papierverbrauch_Büro[[#Totals],[Papierverbrauch 
(Anzahl Blatt Papier)]]=0,"nein","ja")</f>
        <v>nein</v>
      </c>
      <c r="F10" s="150"/>
      <c r="G10" s="55" t="s">
        <v>284</v>
      </c>
    </row>
    <row r="11" spans="1:23" s="9" customFormat="1" ht="18" customHeight="1" x14ac:dyDescent="0.35">
      <c r="B11" s="429"/>
      <c r="C11" s="151" t="s">
        <v>20</v>
      </c>
      <c r="D11" s="156" t="s">
        <v>220</v>
      </c>
      <c r="E11" s="144" t="str">
        <f>IF(Druck_und_Werbematerialien[[#Totals],[Druck- und Werbematerialien
(Kilogramm)]]=0,"nein","ja")</f>
        <v>nein</v>
      </c>
      <c r="F11" s="152"/>
      <c r="G11" s="55" t="s">
        <v>285</v>
      </c>
    </row>
    <row r="12" spans="1:23" s="9" customFormat="1" ht="18" customHeight="1" x14ac:dyDescent="0.35">
      <c r="B12" s="429"/>
      <c r="C12" s="153" t="s">
        <v>20</v>
      </c>
      <c r="D12" s="157" t="s">
        <v>218</v>
      </c>
      <c r="E12" s="145" t="str">
        <f>IF(Verpackungsmaterialien[[#Totals],[Vepackungsmaterialien 
(Kilogramm)]]=0,"nein","ja")</f>
        <v>nein</v>
      </c>
      <c r="F12" s="154"/>
      <c r="G12" s="55" t="s">
        <v>286</v>
      </c>
    </row>
    <row r="13" spans="1:23" s="9" customFormat="1" ht="18" customHeight="1" thickBot="1" x14ac:dyDescent="0.4">
      <c r="B13" s="430"/>
      <c r="C13" s="151" t="s">
        <v>20</v>
      </c>
      <c r="D13" s="156" t="s">
        <v>221</v>
      </c>
      <c r="E13" s="144" t="str">
        <f>IF(Wasserverbrauch[[#Totals],[Wasserverbrauch (m3)]]=0,"nein","ja")</f>
        <v>nein</v>
      </c>
      <c r="F13" s="152"/>
      <c r="G13" s="55" t="s">
        <v>287</v>
      </c>
    </row>
    <row r="14" spans="1:23" ht="51" customHeight="1" thickTop="1" x14ac:dyDescent="0.35"/>
    <row r="15" spans="1:23" x14ac:dyDescent="0.35">
      <c r="B15" s="135" t="s">
        <v>86</v>
      </c>
    </row>
    <row r="16" spans="1:23" s="1" customFormat="1" ht="20.25" customHeight="1" x14ac:dyDescent="0.45">
      <c r="A16"/>
      <c r="B16" s="134" t="s">
        <v>217</v>
      </c>
      <c r="C16"/>
      <c r="D16"/>
      <c r="E16"/>
      <c r="F16"/>
      <c r="G16"/>
      <c r="H16"/>
      <c r="I16"/>
      <c r="J16"/>
      <c r="K16"/>
      <c r="L16"/>
      <c r="M16"/>
      <c r="N16"/>
      <c r="O16"/>
      <c r="P16"/>
      <c r="Q16"/>
      <c r="R16"/>
      <c r="S16"/>
      <c r="T16"/>
      <c r="U16"/>
      <c r="V16"/>
      <c r="W16"/>
    </row>
    <row r="17" spans="1:23" ht="18" customHeight="1" x14ac:dyDescent="0.35">
      <c r="A17" s="1"/>
      <c r="B17" s="200" t="s">
        <v>93</v>
      </c>
      <c r="C17" s="410" t="s">
        <v>239</v>
      </c>
      <c r="D17" s="410"/>
      <c r="E17" s="410"/>
      <c r="F17" s="411"/>
      <c r="G17" s="29"/>
      <c r="I17" s="1"/>
      <c r="J17" s="1"/>
      <c r="K17" s="1"/>
      <c r="L17" s="1"/>
      <c r="M17" s="1"/>
      <c r="N17" s="1"/>
      <c r="O17" s="1"/>
      <c r="P17" s="1"/>
      <c r="Q17" s="1"/>
      <c r="R17" s="1"/>
      <c r="S17" s="1"/>
      <c r="T17" s="1"/>
      <c r="U17" s="1"/>
      <c r="V17" s="1"/>
      <c r="W17" s="1"/>
    </row>
    <row r="19" spans="1:23" ht="44" thickBot="1" x14ac:dyDescent="0.4">
      <c r="B19" s="10"/>
      <c r="C19" s="27" t="s">
        <v>214</v>
      </c>
      <c r="D19" s="27" t="s">
        <v>219</v>
      </c>
      <c r="E19" s="103" t="s">
        <v>80</v>
      </c>
      <c r="F19" s="103" t="s">
        <v>81</v>
      </c>
    </row>
    <row r="20" spans="1:23" ht="15" thickTop="1" x14ac:dyDescent="0.35">
      <c r="B20" s="425" t="str">
        <f>B16</f>
        <v>Papierverbrauch Büro</v>
      </c>
      <c r="C20" s="96"/>
      <c r="D20" s="313"/>
      <c r="E20" s="96"/>
      <c r="F20" s="96"/>
    </row>
    <row r="21" spans="1:23" x14ac:dyDescent="0.35">
      <c r="B21" s="426"/>
      <c r="C21" s="96"/>
      <c r="D21" s="313"/>
      <c r="E21" s="96"/>
      <c r="F21" s="96"/>
    </row>
    <row r="22" spans="1:23" x14ac:dyDescent="0.35">
      <c r="B22" s="426"/>
      <c r="C22" s="96"/>
      <c r="D22" s="313"/>
      <c r="E22" s="96"/>
      <c r="F22" s="96"/>
    </row>
    <row r="23" spans="1:23" x14ac:dyDescent="0.35">
      <c r="B23" s="426"/>
      <c r="C23" s="96"/>
      <c r="D23" s="313"/>
      <c r="E23" s="96"/>
      <c r="F23" s="96"/>
    </row>
    <row r="24" spans="1:23" x14ac:dyDescent="0.35">
      <c r="B24" s="426"/>
      <c r="C24" s="96"/>
      <c r="D24" s="313"/>
      <c r="E24" s="96"/>
      <c r="F24" s="96"/>
    </row>
    <row r="25" spans="1:23" x14ac:dyDescent="0.35">
      <c r="B25" s="426"/>
      <c r="C25" s="96"/>
      <c r="D25" s="313"/>
      <c r="E25" s="96"/>
      <c r="F25" s="96"/>
    </row>
    <row r="26" spans="1:23" x14ac:dyDescent="0.35">
      <c r="B26" s="426"/>
      <c r="C26" s="96"/>
      <c r="D26" s="313"/>
      <c r="E26" s="96"/>
      <c r="F26" s="96"/>
    </row>
    <row r="27" spans="1:23" x14ac:dyDescent="0.35">
      <c r="B27" s="426"/>
      <c r="C27" s="96"/>
      <c r="D27" s="313"/>
      <c r="E27" s="96"/>
      <c r="F27" s="96"/>
    </row>
    <row r="28" spans="1:23" x14ac:dyDescent="0.35">
      <c r="B28" s="426"/>
      <c r="C28" s="96"/>
      <c r="D28" s="313"/>
      <c r="E28" s="96"/>
      <c r="F28" s="96"/>
    </row>
    <row r="29" spans="1:23" x14ac:dyDescent="0.35">
      <c r="B29" s="426"/>
      <c r="C29" s="96"/>
      <c r="D29" s="313"/>
      <c r="E29" s="96"/>
      <c r="F29" s="96"/>
    </row>
    <row r="30" spans="1:23" x14ac:dyDescent="0.35">
      <c r="B30" s="426"/>
      <c r="C30" s="96"/>
      <c r="D30" s="313"/>
      <c r="E30" s="96"/>
      <c r="F30" s="96"/>
    </row>
    <row r="31" spans="1:23" x14ac:dyDescent="0.35">
      <c r="B31" s="426"/>
      <c r="C31" s="96"/>
      <c r="D31" s="313"/>
      <c r="E31" s="96"/>
      <c r="F31" s="96"/>
    </row>
    <row r="32" spans="1:23" x14ac:dyDescent="0.35">
      <c r="B32" s="426"/>
      <c r="C32" s="96"/>
      <c r="D32" s="313"/>
      <c r="E32" s="96"/>
      <c r="F32" s="96"/>
    </row>
    <row r="33" spans="1:23" x14ac:dyDescent="0.35">
      <c r="B33" s="426"/>
      <c r="C33" s="96"/>
      <c r="D33" s="313"/>
      <c r="E33" s="96"/>
      <c r="F33" s="96"/>
    </row>
    <row r="34" spans="1:23" x14ac:dyDescent="0.35">
      <c r="B34" s="426"/>
      <c r="C34" s="96"/>
      <c r="D34" s="313"/>
      <c r="E34" s="96"/>
      <c r="F34" s="96"/>
    </row>
    <row r="35" spans="1:23" x14ac:dyDescent="0.35">
      <c r="B35" s="426"/>
      <c r="C35" s="96"/>
      <c r="D35" s="313"/>
      <c r="E35" s="96"/>
      <c r="F35" s="96"/>
    </row>
    <row r="36" spans="1:23" x14ac:dyDescent="0.35">
      <c r="B36" s="426"/>
      <c r="C36" s="96"/>
      <c r="D36" s="313"/>
      <c r="E36" s="96"/>
      <c r="F36" s="96"/>
    </row>
    <row r="37" spans="1:23" x14ac:dyDescent="0.35">
      <c r="B37" s="426"/>
      <c r="C37" s="96"/>
      <c r="D37" s="313"/>
      <c r="E37" s="96"/>
      <c r="F37" s="96"/>
    </row>
    <row r="38" spans="1:23" x14ac:dyDescent="0.35">
      <c r="B38" s="426"/>
      <c r="C38" s="96"/>
      <c r="D38" s="313"/>
      <c r="E38" s="96"/>
      <c r="F38" s="96"/>
    </row>
    <row r="39" spans="1:23" ht="15" thickBot="1" x14ac:dyDescent="0.4">
      <c r="B39" s="427"/>
      <c r="C39" s="96"/>
      <c r="D39" s="313"/>
      <c r="E39" s="96"/>
      <c r="F39" s="96"/>
    </row>
    <row r="40" spans="1:23" s="2" customFormat="1" ht="15.75" customHeight="1" thickTop="1" x14ac:dyDescent="0.35">
      <c r="B40" s="59"/>
      <c r="C40" s="2" t="s">
        <v>226</v>
      </c>
      <c r="D40" s="317">
        <f>SUBTOTAL(109,Papierverbrauch_Büro[Papierverbrauch 
(Anzahl Blatt Papier)])</f>
        <v>0</v>
      </c>
    </row>
    <row r="41" spans="1:23" ht="121.5" customHeight="1" x14ac:dyDescent="0.35">
      <c r="B41" s="197" t="s">
        <v>223</v>
      </c>
    </row>
    <row r="42" spans="1:23" x14ac:dyDescent="0.35">
      <c r="B42" s="135" t="s">
        <v>86</v>
      </c>
    </row>
    <row r="43" spans="1:23" s="1" customFormat="1" ht="20.25" customHeight="1" x14ac:dyDescent="0.45">
      <c r="A43"/>
      <c r="B43" s="134" t="s">
        <v>220</v>
      </c>
      <c r="C43"/>
      <c r="D43"/>
      <c r="E43"/>
      <c r="F43"/>
      <c r="G43"/>
      <c r="H43"/>
      <c r="I43"/>
      <c r="J43"/>
      <c r="K43"/>
      <c r="L43"/>
      <c r="M43"/>
      <c r="N43"/>
      <c r="O43"/>
      <c r="P43"/>
      <c r="Q43"/>
      <c r="R43"/>
      <c r="S43"/>
      <c r="T43"/>
      <c r="U43"/>
      <c r="V43"/>
      <c r="W43"/>
    </row>
    <row r="44" spans="1:23" ht="18" customHeight="1" x14ac:dyDescent="0.35">
      <c r="A44" s="1"/>
      <c r="B44" s="200" t="s">
        <v>93</v>
      </c>
      <c r="C44" s="410" t="s">
        <v>341</v>
      </c>
      <c r="D44" s="410"/>
      <c r="E44" s="410"/>
      <c r="F44" s="411"/>
      <c r="G44" s="29"/>
      <c r="I44" s="1"/>
      <c r="J44" s="1"/>
      <c r="K44" s="1"/>
      <c r="L44" s="1"/>
      <c r="M44" s="1"/>
      <c r="N44" s="1"/>
      <c r="O44" s="1"/>
      <c r="P44" s="1"/>
      <c r="Q44" s="1"/>
      <c r="R44" s="1"/>
      <c r="S44" s="1"/>
      <c r="T44" s="1"/>
      <c r="U44" s="1"/>
      <c r="V44" s="1"/>
      <c r="W44" s="1"/>
    </row>
    <row r="46" spans="1:23" ht="44" thickBot="1" x14ac:dyDescent="0.4">
      <c r="B46" s="10"/>
      <c r="C46" s="27" t="s">
        <v>214</v>
      </c>
      <c r="D46" s="27" t="s">
        <v>335</v>
      </c>
      <c r="E46" s="103" t="s">
        <v>80</v>
      </c>
      <c r="F46" s="103" t="s">
        <v>81</v>
      </c>
    </row>
    <row r="47" spans="1:23" ht="15" thickTop="1" x14ac:dyDescent="0.35">
      <c r="B47" s="425" t="str">
        <f>B43</f>
        <v>Druck- und Werbematerialien</v>
      </c>
      <c r="C47" s="96"/>
      <c r="D47" s="313"/>
      <c r="E47" s="96"/>
      <c r="F47" s="96"/>
    </row>
    <row r="48" spans="1:23" x14ac:dyDescent="0.35">
      <c r="B48" s="426"/>
      <c r="C48" s="96"/>
      <c r="D48" s="313"/>
      <c r="E48" s="96"/>
      <c r="F48" s="96"/>
    </row>
    <row r="49" spans="2:6" x14ac:dyDescent="0.35">
      <c r="B49" s="426"/>
      <c r="C49" s="96"/>
      <c r="D49" s="313"/>
      <c r="E49" s="96"/>
      <c r="F49" s="96"/>
    </row>
    <row r="50" spans="2:6" x14ac:dyDescent="0.35">
      <c r="B50" s="426"/>
      <c r="C50" s="96"/>
      <c r="D50" s="313"/>
      <c r="E50" s="96"/>
      <c r="F50" s="96"/>
    </row>
    <row r="51" spans="2:6" x14ac:dyDescent="0.35">
      <c r="B51" s="426"/>
      <c r="C51" s="96"/>
      <c r="D51" s="313"/>
      <c r="E51" s="96"/>
      <c r="F51" s="96"/>
    </row>
    <row r="52" spans="2:6" x14ac:dyDescent="0.35">
      <c r="B52" s="426"/>
      <c r="C52" s="96"/>
      <c r="D52" s="313"/>
      <c r="E52" s="96"/>
      <c r="F52" s="96"/>
    </row>
    <row r="53" spans="2:6" x14ac:dyDescent="0.35">
      <c r="B53" s="426"/>
      <c r="C53" s="96"/>
      <c r="D53" s="313"/>
      <c r="E53" s="96"/>
      <c r="F53" s="96"/>
    </row>
    <row r="54" spans="2:6" x14ac:dyDescent="0.35">
      <c r="B54" s="426"/>
      <c r="C54" s="96"/>
      <c r="D54" s="313"/>
      <c r="E54" s="96"/>
      <c r="F54" s="96"/>
    </row>
    <row r="55" spans="2:6" x14ac:dyDescent="0.35">
      <c r="B55" s="426"/>
      <c r="C55" s="96"/>
      <c r="D55" s="313"/>
      <c r="E55" s="96"/>
      <c r="F55" s="96"/>
    </row>
    <row r="56" spans="2:6" x14ac:dyDescent="0.35">
      <c r="B56" s="426"/>
      <c r="C56" s="96"/>
      <c r="D56" s="313"/>
      <c r="E56" s="96"/>
      <c r="F56" s="96"/>
    </row>
    <row r="57" spans="2:6" x14ac:dyDescent="0.35">
      <c r="B57" s="426"/>
      <c r="C57" s="96"/>
      <c r="D57" s="313"/>
      <c r="E57" s="96"/>
      <c r="F57" s="96"/>
    </row>
    <row r="58" spans="2:6" x14ac:dyDescent="0.35">
      <c r="B58" s="426"/>
      <c r="C58" s="96"/>
      <c r="D58" s="313"/>
      <c r="E58" s="96"/>
      <c r="F58" s="96"/>
    </row>
    <row r="59" spans="2:6" x14ac:dyDescent="0.35">
      <c r="B59" s="426"/>
      <c r="C59" s="96"/>
      <c r="D59" s="313"/>
      <c r="E59" s="96"/>
      <c r="F59" s="96"/>
    </row>
    <row r="60" spans="2:6" x14ac:dyDescent="0.35">
      <c r="B60" s="426"/>
      <c r="C60" s="96"/>
      <c r="D60" s="313"/>
      <c r="E60" s="96"/>
      <c r="F60" s="96"/>
    </row>
    <row r="61" spans="2:6" x14ac:dyDescent="0.35">
      <c r="B61" s="426"/>
      <c r="C61" s="96"/>
      <c r="D61" s="313"/>
      <c r="E61" s="96"/>
      <c r="F61" s="96"/>
    </row>
    <row r="62" spans="2:6" x14ac:dyDescent="0.35">
      <c r="B62" s="426"/>
      <c r="C62" s="96"/>
      <c r="D62" s="313"/>
      <c r="E62" s="96"/>
      <c r="F62" s="96"/>
    </row>
    <row r="63" spans="2:6" x14ac:dyDescent="0.35">
      <c r="B63" s="426"/>
      <c r="C63" s="96"/>
      <c r="D63" s="313"/>
      <c r="E63" s="96"/>
      <c r="F63" s="96"/>
    </row>
    <row r="64" spans="2:6" x14ac:dyDescent="0.35">
      <c r="B64" s="426"/>
      <c r="C64" s="96"/>
      <c r="D64" s="313"/>
      <c r="E64" s="96"/>
      <c r="F64" s="96"/>
    </row>
    <row r="65" spans="1:23" x14ac:dyDescent="0.35">
      <c r="B65" s="426"/>
      <c r="C65" s="96"/>
      <c r="D65" s="313"/>
      <c r="E65" s="96"/>
      <c r="F65" s="96"/>
    </row>
    <row r="66" spans="1:23" ht="15" thickBot="1" x14ac:dyDescent="0.4">
      <c r="B66" s="427"/>
      <c r="C66" s="96"/>
      <c r="D66" s="313"/>
      <c r="E66" s="96"/>
      <c r="F66" s="96"/>
    </row>
    <row r="67" spans="1:23" s="2" customFormat="1" ht="15.75" customHeight="1" thickTop="1" x14ac:dyDescent="0.35">
      <c r="B67" s="59"/>
      <c r="C67" s="2" t="s">
        <v>226</v>
      </c>
      <c r="D67" s="317">
        <f>SUBTOTAL(109,Druck_und_Werbematerialien[Druck- und Werbematerialien
(Kilogramm)])</f>
        <v>0</v>
      </c>
    </row>
    <row r="68" spans="1:23" ht="121.5" customHeight="1" x14ac:dyDescent="0.35">
      <c r="B68" s="197" t="s">
        <v>223</v>
      </c>
    </row>
    <row r="69" spans="1:23" x14ac:dyDescent="0.35">
      <c r="B69" s="135" t="s">
        <v>86</v>
      </c>
    </row>
    <row r="70" spans="1:23" s="1" customFormat="1" ht="20.25" customHeight="1" x14ac:dyDescent="0.45">
      <c r="A70"/>
      <c r="B70" s="134" t="s">
        <v>218</v>
      </c>
      <c r="C70"/>
      <c r="D70"/>
      <c r="E70"/>
      <c r="F70"/>
      <c r="G70"/>
      <c r="H70"/>
      <c r="I70"/>
      <c r="J70"/>
      <c r="K70"/>
      <c r="L70"/>
      <c r="M70"/>
      <c r="N70"/>
      <c r="O70"/>
      <c r="P70"/>
      <c r="Q70"/>
      <c r="R70"/>
      <c r="S70"/>
      <c r="T70"/>
      <c r="U70"/>
      <c r="V70"/>
      <c r="W70"/>
    </row>
    <row r="71" spans="1:23" ht="31.5" customHeight="1" x14ac:dyDescent="0.35">
      <c r="A71" s="1"/>
      <c r="B71" s="200" t="s">
        <v>93</v>
      </c>
      <c r="C71" s="410" t="s">
        <v>342</v>
      </c>
      <c r="D71" s="410"/>
      <c r="E71" s="410"/>
      <c r="F71" s="411"/>
      <c r="G71" s="29"/>
      <c r="I71" s="1"/>
      <c r="J71" s="1"/>
      <c r="K71" s="1"/>
      <c r="L71" s="1"/>
      <c r="M71" s="1"/>
      <c r="N71" s="1"/>
      <c r="O71" s="1"/>
      <c r="P71" s="1"/>
      <c r="Q71" s="1"/>
      <c r="R71" s="1"/>
      <c r="S71" s="1"/>
      <c r="T71" s="1"/>
      <c r="U71" s="1"/>
      <c r="V71" s="1"/>
      <c r="W71" s="1"/>
    </row>
    <row r="73" spans="1:23" ht="44" thickBot="1" x14ac:dyDescent="0.4">
      <c r="B73" s="10"/>
      <c r="C73" s="27" t="s">
        <v>214</v>
      </c>
      <c r="D73" s="27" t="s">
        <v>336</v>
      </c>
      <c r="E73" s="103" t="s">
        <v>80</v>
      </c>
      <c r="F73" s="103" t="s">
        <v>81</v>
      </c>
    </row>
    <row r="74" spans="1:23" ht="15" thickTop="1" x14ac:dyDescent="0.35">
      <c r="B74" s="425" t="str">
        <f>B70</f>
        <v>Verpackungsmaterialien</v>
      </c>
      <c r="C74" s="96"/>
      <c r="D74" s="313"/>
      <c r="E74" s="96"/>
      <c r="F74" s="96"/>
    </row>
    <row r="75" spans="1:23" x14ac:dyDescent="0.35">
      <c r="B75" s="426"/>
      <c r="C75" s="96"/>
      <c r="D75" s="313"/>
      <c r="E75" s="96"/>
      <c r="F75" s="96"/>
    </row>
    <row r="76" spans="1:23" x14ac:dyDescent="0.35">
      <c r="B76" s="426"/>
      <c r="C76" s="96"/>
      <c r="D76" s="313"/>
      <c r="E76" s="96"/>
      <c r="F76" s="96"/>
    </row>
    <row r="77" spans="1:23" x14ac:dyDescent="0.35">
      <c r="B77" s="426"/>
      <c r="C77" s="96"/>
      <c r="D77" s="313"/>
      <c r="E77" s="96"/>
      <c r="F77" s="96"/>
    </row>
    <row r="78" spans="1:23" x14ac:dyDescent="0.35">
      <c r="B78" s="426"/>
      <c r="C78" s="96"/>
      <c r="D78" s="313"/>
      <c r="E78" s="96"/>
      <c r="F78" s="96"/>
    </row>
    <row r="79" spans="1:23" x14ac:dyDescent="0.35">
      <c r="B79" s="426"/>
      <c r="C79" s="96"/>
      <c r="D79" s="313"/>
      <c r="E79" s="96"/>
      <c r="F79" s="96"/>
    </row>
    <row r="80" spans="1:23" x14ac:dyDescent="0.35">
      <c r="B80" s="426"/>
      <c r="C80" s="96"/>
      <c r="D80" s="313"/>
      <c r="E80" s="96"/>
      <c r="F80" s="96"/>
    </row>
    <row r="81" spans="2:6" x14ac:dyDescent="0.35">
      <c r="B81" s="426"/>
      <c r="C81" s="96"/>
      <c r="D81" s="313"/>
      <c r="E81" s="96"/>
      <c r="F81" s="96"/>
    </row>
    <row r="82" spans="2:6" x14ac:dyDescent="0.35">
      <c r="B82" s="426"/>
      <c r="C82" s="96"/>
      <c r="D82" s="313"/>
      <c r="E82" s="96"/>
      <c r="F82" s="96"/>
    </row>
    <row r="83" spans="2:6" x14ac:dyDescent="0.35">
      <c r="B83" s="426"/>
      <c r="C83" s="96"/>
      <c r="D83" s="313"/>
      <c r="E83" s="96"/>
      <c r="F83" s="96"/>
    </row>
    <row r="84" spans="2:6" x14ac:dyDescent="0.35">
      <c r="B84" s="426"/>
      <c r="C84" s="96"/>
      <c r="D84" s="313"/>
      <c r="E84" s="96"/>
      <c r="F84" s="96"/>
    </row>
    <row r="85" spans="2:6" x14ac:dyDescent="0.35">
      <c r="B85" s="426"/>
      <c r="C85" s="96"/>
      <c r="D85" s="313"/>
      <c r="E85" s="96"/>
      <c r="F85" s="96"/>
    </row>
    <row r="86" spans="2:6" x14ac:dyDescent="0.35">
      <c r="B86" s="426"/>
      <c r="C86" s="96"/>
      <c r="D86" s="313"/>
      <c r="E86" s="96"/>
      <c r="F86" s="96"/>
    </row>
    <row r="87" spans="2:6" x14ac:dyDescent="0.35">
      <c r="B87" s="426"/>
      <c r="C87" s="96"/>
      <c r="D87" s="313"/>
      <c r="E87" s="96"/>
      <c r="F87" s="96"/>
    </row>
    <row r="88" spans="2:6" x14ac:dyDescent="0.35">
      <c r="B88" s="426"/>
      <c r="C88" s="96"/>
      <c r="D88" s="313"/>
      <c r="E88" s="96"/>
      <c r="F88" s="96"/>
    </row>
    <row r="89" spans="2:6" x14ac:dyDescent="0.35">
      <c r="B89" s="426"/>
      <c r="C89" s="96"/>
      <c r="D89" s="313"/>
      <c r="E89" s="96"/>
      <c r="F89" s="96"/>
    </row>
    <row r="90" spans="2:6" x14ac:dyDescent="0.35">
      <c r="B90" s="426"/>
      <c r="C90" s="96"/>
      <c r="D90" s="313"/>
      <c r="E90" s="96"/>
      <c r="F90" s="96"/>
    </row>
    <row r="91" spans="2:6" x14ac:dyDescent="0.35">
      <c r="B91" s="426"/>
      <c r="C91" s="96"/>
      <c r="D91" s="313"/>
      <c r="E91" s="96"/>
      <c r="F91" s="96"/>
    </row>
    <row r="92" spans="2:6" x14ac:dyDescent="0.35">
      <c r="B92" s="426"/>
      <c r="C92" s="96"/>
      <c r="D92" s="313"/>
      <c r="E92" s="96"/>
      <c r="F92" s="96"/>
    </row>
    <row r="93" spans="2:6" ht="15" thickBot="1" x14ac:dyDescent="0.4">
      <c r="B93" s="427"/>
      <c r="C93" s="96"/>
      <c r="D93" s="313"/>
      <c r="E93" s="96"/>
      <c r="F93" s="96"/>
    </row>
    <row r="94" spans="2:6" s="2" customFormat="1" ht="15.75" customHeight="1" thickTop="1" x14ac:dyDescent="0.35">
      <c r="B94" s="59"/>
      <c r="C94" s="2" t="s">
        <v>226</v>
      </c>
      <c r="D94" s="317">
        <f>SUBTOTAL(109,Verpackungsmaterialien[Vepackungsmaterialien 
(Kilogramm)])</f>
        <v>0</v>
      </c>
    </row>
    <row r="95" spans="2:6" ht="121.5" customHeight="1" x14ac:dyDescent="0.35">
      <c r="B95" s="197" t="s">
        <v>223</v>
      </c>
    </row>
    <row r="96" spans="2:6" x14ac:dyDescent="0.35">
      <c r="B96" s="135" t="s">
        <v>86</v>
      </c>
    </row>
    <row r="97" spans="1:23" s="1" customFormat="1" ht="20.25" customHeight="1" x14ac:dyDescent="0.45">
      <c r="A97"/>
      <c r="B97" s="134" t="s">
        <v>221</v>
      </c>
      <c r="C97"/>
      <c r="D97"/>
      <c r="E97"/>
      <c r="F97"/>
      <c r="G97"/>
      <c r="H97"/>
      <c r="I97"/>
      <c r="J97"/>
      <c r="K97"/>
      <c r="L97"/>
      <c r="M97"/>
      <c r="N97"/>
      <c r="O97"/>
      <c r="P97"/>
      <c r="Q97"/>
      <c r="R97"/>
      <c r="S97"/>
      <c r="T97"/>
      <c r="U97"/>
      <c r="V97"/>
      <c r="W97"/>
    </row>
    <row r="98" spans="1:23" ht="31.5" customHeight="1" x14ac:dyDescent="0.35">
      <c r="A98" s="1"/>
      <c r="B98" s="200" t="s">
        <v>93</v>
      </c>
      <c r="C98" s="410" t="s">
        <v>396</v>
      </c>
      <c r="D98" s="410"/>
      <c r="E98" s="410"/>
      <c r="F98" s="411"/>
      <c r="G98" s="29"/>
      <c r="I98" s="1"/>
      <c r="J98" s="1"/>
      <c r="K98" s="1"/>
      <c r="L98" s="1"/>
      <c r="M98" s="1"/>
      <c r="N98" s="1"/>
      <c r="O98" s="1"/>
      <c r="P98" s="1"/>
      <c r="Q98" s="1"/>
      <c r="R98" s="1"/>
      <c r="S98" s="1"/>
      <c r="T98" s="1"/>
      <c r="U98" s="1"/>
      <c r="V98" s="1"/>
      <c r="W98" s="1"/>
    </row>
    <row r="100" spans="1:23" ht="44" thickBot="1" x14ac:dyDescent="0.4">
      <c r="B100" s="10"/>
      <c r="C100" s="27" t="s">
        <v>214</v>
      </c>
      <c r="D100" s="27" t="s">
        <v>222</v>
      </c>
      <c r="E100" s="103" t="s">
        <v>80</v>
      </c>
      <c r="F100" s="103" t="s">
        <v>81</v>
      </c>
    </row>
    <row r="101" spans="1:23" ht="15" thickTop="1" x14ac:dyDescent="0.35">
      <c r="B101" s="425" t="str">
        <f>B97</f>
        <v>Wasserverbrauch</v>
      </c>
      <c r="C101" s="96"/>
      <c r="D101" s="313"/>
      <c r="E101" s="96"/>
      <c r="F101" s="96"/>
    </row>
    <row r="102" spans="1:23" x14ac:dyDescent="0.35">
      <c r="B102" s="426"/>
      <c r="C102" s="96"/>
      <c r="D102" s="313"/>
      <c r="E102" s="96"/>
      <c r="F102" s="96"/>
    </row>
    <row r="103" spans="1:23" x14ac:dyDescent="0.35">
      <c r="B103" s="426"/>
      <c r="C103" s="96"/>
      <c r="D103" s="313"/>
      <c r="E103" s="96"/>
      <c r="F103" s="96"/>
    </row>
    <row r="104" spans="1:23" x14ac:dyDescent="0.35">
      <c r="B104" s="426"/>
      <c r="C104" s="96"/>
      <c r="D104" s="313"/>
      <c r="E104" s="96"/>
      <c r="F104" s="96"/>
    </row>
    <row r="105" spans="1:23" x14ac:dyDescent="0.35">
      <c r="B105" s="426"/>
      <c r="C105" s="96"/>
      <c r="D105" s="313"/>
      <c r="E105" s="96"/>
      <c r="F105" s="96"/>
    </row>
    <row r="106" spans="1:23" x14ac:dyDescent="0.35">
      <c r="B106" s="426"/>
      <c r="C106" s="96"/>
      <c r="D106" s="313"/>
      <c r="E106" s="96"/>
      <c r="F106" s="96"/>
    </row>
    <row r="107" spans="1:23" x14ac:dyDescent="0.35">
      <c r="B107" s="426"/>
      <c r="C107" s="96"/>
      <c r="D107" s="313"/>
      <c r="E107" s="96"/>
      <c r="F107" s="96"/>
    </row>
    <row r="108" spans="1:23" x14ac:dyDescent="0.35">
      <c r="B108" s="426"/>
      <c r="C108" s="96"/>
      <c r="D108" s="313"/>
      <c r="E108" s="96"/>
      <c r="F108" s="96"/>
    </row>
    <row r="109" spans="1:23" x14ac:dyDescent="0.35">
      <c r="B109" s="426"/>
      <c r="C109" s="96"/>
      <c r="D109" s="313"/>
      <c r="E109" s="96"/>
      <c r="F109" s="96"/>
    </row>
    <row r="110" spans="1:23" x14ac:dyDescent="0.35">
      <c r="B110" s="426"/>
      <c r="C110" s="96"/>
      <c r="D110" s="313"/>
      <c r="E110" s="96"/>
      <c r="F110" s="96"/>
    </row>
    <row r="111" spans="1:23" x14ac:dyDescent="0.35">
      <c r="B111" s="426"/>
      <c r="C111" s="96"/>
      <c r="D111" s="313"/>
      <c r="E111" s="96"/>
      <c r="F111" s="96"/>
    </row>
    <row r="112" spans="1:23" x14ac:dyDescent="0.35">
      <c r="B112" s="426"/>
      <c r="C112" s="96"/>
      <c r="D112" s="313"/>
      <c r="E112" s="96"/>
      <c r="F112" s="96"/>
    </row>
    <row r="113" spans="2:6" x14ac:dyDescent="0.35">
      <c r="B113" s="426"/>
      <c r="C113" s="96"/>
      <c r="D113" s="313"/>
      <c r="E113" s="96"/>
      <c r="F113" s="96"/>
    </row>
    <row r="114" spans="2:6" x14ac:dyDescent="0.35">
      <c r="B114" s="426"/>
      <c r="C114" s="96"/>
      <c r="D114" s="313"/>
      <c r="E114" s="96"/>
      <c r="F114" s="96"/>
    </row>
    <row r="115" spans="2:6" x14ac:dyDescent="0.35">
      <c r="B115" s="426"/>
      <c r="C115" s="96"/>
      <c r="D115" s="313"/>
      <c r="E115" s="96"/>
      <c r="F115" s="96"/>
    </row>
    <row r="116" spans="2:6" x14ac:dyDescent="0.35">
      <c r="B116" s="426"/>
      <c r="C116" s="96"/>
      <c r="D116" s="313"/>
      <c r="E116" s="96"/>
      <c r="F116" s="96"/>
    </row>
    <row r="117" spans="2:6" x14ac:dyDescent="0.35">
      <c r="B117" s="426"/>
      <c r="C117" s="96"/>
      <c r="D117" s="313"/>
      <c r="E117" s="96"/>
      <c r="F117" s="96"/>
    </row>
    <row r="118" spans="2:6" x14ac:dyDescent="0.35">
      <c r="B118" s="426"/>
      <c r="C118" s="96"/>
      <c r="D118" s="313"/>
      <c r="E118" s="96"/>
      <c r="F118" s="96"/>
    </row>
    <row r="119" spans="2:6" x14ac:dyDescent="0.35">
      <c r="B119" s="426"/>
      <c r="C119" s="96"/>
      <c r="D119" s="313"/>
      <c r="E119" s="96"/>
      <c r="F119" s="96"/>
    </row>
    <row r="120" spans="2:6" ht="15" thickBot="1" x14ac:dyDescent="0.4">
      <c r="B120" s="427"/>
      <c r="C120" s="96"/>
      <c r="D120" s="313"/>
      <c r="E120" s="96"/>
      <c r="F120" s="96"/>
    </row>
    <row r="121" spans="2:6" s="2" customFormat="1" ht="15.75" customHeight="1" thickTop="1" x14ac:dyDescent="0.35">
      <c r="B121" s="59"/>
      <c r="C121" s="2" t="s">
        <v>226</v>
      </c>
      <c r="D121" s="317">
        <f>SUBTOTAL(109,Wasserverbrauch[Wasserverbrauch (m3)])</f>
        <v>0</v>
      </c>
    </row>
    <row r="122" spans="2:6" ht="121.5" customHeight="1" x14ac:dyDescent="0.35">
      <c r="B122" s="197" t="s">
        <v>223</v>
      </c>
    </row>
  </sheetData>
  <sheetProtection algorithmName="SHA-512" hashValue="oTCGUpmvJOT2DUcXhK/QV0L2jpf2N3NRbGe6uzEws8z3YC6bcg4MdDYCkmONuLf07p2NAHCYbmqMGEXCj/WiKg==" saltValue="8K3S3MpiDjB1f5qinpDo2w==" spinCount="100000" sheet="1" insertRows="0"/>
  <mergeCells count="10">
    <mergeCell ref="B5:F5"/>
    <mergeCell ref="B10:B13"/>
    <mergeCell ref="B20:B39"/>
    <mergeCell ref="C17:F17"/>
    <mergeCell ref="C44:F44"/>
    <mergeCell ref="B47:B66"/>
    <mergeCell ref="C71:F71"/>
    <mergeCell ref="B74:B93"/>
    <mergeCell ref="C98:F98"/>
    <mergeCell ref="B101:B120"/>
  </mergeCells>
  <dataValidations count="3">
    <dataValidation type="list" allowBlank="1" showInputMessage="1" showErrorMessage="1" sqref="E41 E68 E95 E122" xr:uid="{5C4369EA-9807-4239-BEDC-6634AD187BAB}">
      <formula1>INDIRECT($B41)</formula1>
    </dataValidation>
    <dataValidation type="list" allowBlank="1" showInputMessage="1" showErrorMessage="1" sqref="D41 D68 C47:C66 D95 C74:C93 D122 C101:C120 C20:C39" xr:uid="{5839356D-6290-449C-889C-346AF26E2C1E}">
      <formula1>Gliederungselemente</formula1>
    </dataValidation>
    <dataValidation type="decimal" operator="notEqual" allowBlank="1" showInputMessage="1" showErrorMessage="1" errorTitle="Ungültiger Wert!" error="Bitte tragen Sie eine Zahl ein." sqref="D20 D47 D74 D101" xr:uid="{2B279F74-D01E-4258-A29E-EFDF2E942169}">
      <formula1>0</formula1>
    </dataValidation>
  </dataValidations>
  <hyperlinks>
    <hyperlink ref="D10:D13" location="'Datenerfassung (3)'!F23:F42" display="Energie_Wärme" xr:uid="{76CBE17B-EA7A-4C95-A094-E8F6246EBFE2}"/>
    <hyperlink ref="B15" location="'Datenerfassung Beyond Carbon'!B3" display="Zurück zur Übersicht" xr:uid="{E02A6539-F0E4-405C-B68C-0A664F2A1DBC}"/>
    <hyperlink ref="B42" location="'Datenerfassung Beyond Carbon'!B3" display="Zurück zur Übersicht" xr:uid="{D12E2156-19CA-4DE5-A042-BCA98BCBC095}"/>
    <hyperlink ref="B69" location="'Datenerfassung Beyond Carbon'!B3" display="Zurück zur Übersicht" xr:uid="{D2873266-CF8D-4AAD-93D4-8EA94D9E3131}"/>
    <hyperlink ref="B96" location="'Datenerfassung Beyond Carbon'!B3" display="Zurück zur Übersicht" xr:uid="{582B6341-76BE-4DA7-835D-07CABEBDD7CA}"/>
    <hyperlink ref="D10" location="Bez_Papier" display="Papierverbrauch Büro" xr:uid="{208E8A1A-08CC-45BE-B667-F13A8ACBCDE2}"/>
    <hyperlink ref="D11" location="Bez_Druck_und_Werbematerialien" display="Druck- und Werbematerialien" xr:uid="{A243BCBB-5352-4E20-89BE-E69F36567E2E}"/>
    <hyperlink ref="D12" location="Bez_Verpackung" display="Verpackungsmaterialien" xr:uid="{A7E930EF-854C-4F1C-AC2D-19A3BF1DB585}"/>
    <hyperlink ref="D13" location="Bez_Wasser" display="Wasserverbrauch" xr:uid="{2570A325-AB66-4276-A4C5-5B84CC45E043}"/>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18" r:id="rId4" name="Check Box 10">
              <controlPr defaultSize="0" autoFill="0" autoLine="0" autoPict="0">
                <anchor moveWithCells="1">
                  <from>
                    <xdr:col>5</xdr:col>
                    <xdr:colOff>889000</xdr:colOff>
                    <xdr:row>9</xdr:row>
                    <xdr:rowOff>0</xdr:rowOff>
                  </from>
                  <to>
                    <xdr:col>5</xdr:col>
                    <xdr:colOff>1098550</xdr:colOff>
                    <xdr:row>9</xdr:row>
                    <xdr:rowOff>184150</xdr:rowOff>
                  </to>
                </anchor>
              </controlPr>
            </control>
          </mc:Choice>
        </mc:AlternateContent>
        <mc:AlternateContent xmlns:mc="http://schemas.openxmlformats.org/markup-compatibility/2006">
          <mc:Choice Requires="x14">
            <control shapeId="43019" r:id="rId5" name="Check Box 11">
              <controlPr defaultSize="0" autoFill="0" autoLine="0" autoPict="0">
                <anchor moveWithCells="1">
                  <from>
                    <xdr:col>5</xdr:col>
                    <xdr:colOff>889000</xdr:colOff>
                    <xdr:row>10</xdr:row>
                    <xdr:rowOff>0</xdr:rowOff>
                  </from>
                  <to>
                    <xdr:col>5</xdr:col>
                    <xdr:colOff>1098550</xdr:colOff>
                    <xdr:row>10</xdr:row>
                    <xdr:rowOff>184150</xdr:rowOff>
                  </to>
                </anchor>
              </controlPr>
            </control>
          </mc:Choice>
        </mc:AlternateContent>
        <mc:AlternateContent xmlns:mc="http://schemas.openxmlformats.org/markup-compatibility/2006">
          <mc:Choice Requires="x14">
            <control shapeId="43020" r:id="rId6" name="Check Box 12">
              <controlPr defaultSize="0" autoFill="0" autoLine="0" autoPict="0">
                <anchor moveWithCells="1">
                  <from>
                    <xdr:col>5</xdr:col>
                    <xdr:colOff>889000</xdr:colOff>
                    <xdr:row>12</xdr:row>
                    <xdr:rowOff>0</xdr:rowOff>
                  </from>
                  <to>
                    <xdr:col>5</xdr:col>
                    <xdr:colOff>1098550</xdr:colOff>
                    <xdr:row>12</xdr:row>
                    <xdr:rowOff>184150</xdr:rowOff>
                  </to>
                </anchor>
              </controlPr>
            </control>
          </mc:Choice>
        </mc:AlternateContent>
        <mc:AlternateContent xmlns:mc="http://schemas.openxmlformats.org/markup-compatibility/2006">
          <mc:Choice Requires="x14">
            <control shapeId="43022" r:id="rId7" name="Check Box 14">
              <controlPr defaultSize="0" autoFill="0" autoLine="0" autoPict="0">
                <anchor moveWithCells="1">
                  <from>
                    <xdr:col>5</xdr:col>
                    <xdr:colOff>889000</xdr:colOff>
                    <xdr:row>11</xdr:row>
                    <xdr:rowOff>0</xdr:rowOff>
                  </from>
                  <to>
                    <xdr:col>5</xdr:col>
                    <xdr:colOff>1098550</xdr:colOff>
                    <xdr:row>11</xdr:row>
                    <xdr:rowOff>184150</xdr:rowOff>
                  </to>
                </anchor>
              </controlPr>
            </control>
          </mc:Choice>
        </mc:AlternateContent>
      </controls>
    </mc:Choice>
  </mc:AlternateContent>
  <tableParts count="4">
    <tablePart r:id="rId8"/>
    <tablePart r:id="rId9"/>
    <tablePart r:id="rId10"/>
    <tablePart r:id="rId11"/>
  </tableParts>
  <extLst>
    <ext xmlns:x14="http://schemas.microsoft.com/office/spreadsheetml/2009/9/main" uri="{CCE6A557-97BC-4b89-ADB6-D9C93CAAB3DF}">
      <x14:dataValidations xmlns:xm="http://schemas.microsoft.com/office/excel/2006/main" count="1">
        <x14:dataValidation type="list" allowBlank="1" showInputMessage="1" showErrorMessage="1" xr:uid="{5F65D242-00DC-47A8-8F90-D0DD2510CCFE}">
          <x14:formula1>
            <xm:f>INDIRECT(Dropdowns!$B$80)</xm:f>
          </x14:formula1>
          <xm:sqref>H41 H122 H95 H68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74097-2FEB-495F-B466-48E82CEE3A11}">
  <sheetPr>
    <tabColor theme="7"/>
  </sheetPr>
  <dimension ref="A1:AA172"/>
  <sheetViews>
    <sheetView showGridLines="0" zoomScaleNormal="100" workbookViewId="0">
      <pane ySplit="9" topLeftCell="A10" activePane="bottomLeft" state="frozen"/>
      <selection pane="bottomLeft"/>
    </sheetView>
  </sheetViews>
  <sheetFormatPr baseColWidth="10" defaultRowHeight="14.5" x14ac:dyDescent="0.35"/>
  <cols>
    <col min="1" max="1" width="8.7265625" customWidth="1"/>
    <col min="2" max="2" width="8.26953125" style="15" customWidth="1"/>
    <col min="3" max="3" width="44.26953125" style="10" customWidth="1"/>
    <col min="4" max="6" width="19" customWidth="1"/>
    <col min="7" max="7" width="22.453125" customWidth="1"/>
    <col min="8" max="15" width="11.453125" style="8"/>
    <col min="27" max="27" width="11.453125" customWidth="1"/>
  </cols>
  <sheetData>
    <row r="1" spans="1:26" ht="3" customHeight="1" x14ac:dyDescent="0.35"/>
    <row r="2" spans="1:26" ht="3" customHeight="1" x14ac:dyDescent="0.35"/>
    <row r="3" spans="1:26" ht="17.25" customHeight="1" thickBot="1" x14ac:dyDescent="0.4">
      <c r="B3" s="32" t="str">
        <f>IF(ISBLANK(Stammdaten!$C$8),"",Stammdaten!$C$8)</f>
        <v/>
      </c>
      <c r="C3" s="9"/>
      <c r="F3" s="456" t="s">
        <v>363</v>
      </c>
      <c r="G3" s="456"/>
      <c r="M3" s="431"/>
      <c r="N3" s="431"/>
      <c r="O3" s="431"/>
      <c r="P3" s="2"/>
      <c r="Q3" s="431"/>
      <c r="R3" s="431"/>
      <c r="S3" s="431"/>
    </row>
    <row r="4" spans="1:26" ht="19.5" customHeight="1" x14ac:dyDescent="0.35">
      <c r="B4" s="225" t="s">
        <v>292</v>
      </c>
      <c r="C4" s="9"/>
      <c r="D4" s="433" t="s">
        <v>361</v>
      </c>
      <c r="F4" s="432" t="s">
        <v>310</v>
      </c>
      <c r="G4" s="432"/>
      <c r="T4" s="8"/>
    </row>
    <row r="5" spans="1:26" ht="21.75" customHeight="1" x14ac:dyDescent="0.35">
      <c r="B5" s="440" t="s">
        <v>362</v>
      </c>
      <c r="C5" s="441"/>
      <c r="D5" s="434"/>
      <c r="F5" s="442" t="s">
        <v>117</v>
      </c>
      <c r="G5" s="443"/>
      <c r="T5" s="8"/>
    </row>
    <row r="6" spans="1:26" ht="21.75" customHeight="1" x14ac:dyDescent="0.35">
      <c r="B6" s="438" t="s">
        <v>372</v>
      </c>
      <c r="C6" s="439"/>
      <c r="D6" s="226" t="s">
        <v>231</v>
      </c>
      <c r="F6" s="432" t="s">
        <v>311</v>
      </c>
      <c r="G6" s="432"/>
      <c r="O6"/>
      <c r="S6" s="8"/>
    </row>
    <row r="7" spans="1:26" ht="21.75" customHeight="1" x14ac:dyDescent="0.35">
      <c r="B7" s="438" t="s">
        <v>230</v>
      </c>
      <c r="C7" s="439"/>
      <c r="D7" s="227" t="s">
        <v>231</v>
      </c>
      <c r="F7" s="442" t="s">
        <v>234</v>
      </c>
      <c r="G7" s="443"/>
      <c r="O7"/>
      <c r="S7" s="8"/>
    </row>
    <row r="8" spans="1:26" ht="9.75" customHeight="1" thickBot="1" x14ac:dyDescent="0.4">
      <c r="B8" s="33"/>
      <c r="C8" s="9"/>
      <c r="D8" s="457"/>
      <c r="E8" s="457"/>
      <c r="F8" s="457"/>
      <c r="G8" s="457"/>
      <c r="T8" s="8"/>
    </row>
    <row r="9" spans="1:26" ht="6" customHeight="1" thickBot="1" x14ac:dyDescent="0.4">
      <c r="A9" s="241"/>
      <c r="B9" s="242"/>
      <c r="C9" s="243"/>
      <c r="D9" s="244"/>
      <c r="E9" s="244"/>
      <c r="F9" s="244"/>
      <c r="G9" s="244"/>
      <c r="H9" s="245"/>
      <c r="I9" s="245"/>
      <c r="J9" s="245"/>
      <c r="K9" s="245"/>
      <c r="L9" s="245"/>
      <c r="M9" s="245"/>
      <c r="N9" s="245"/>
      <c r="O9" s="245"/>
      <c r="P9" s="246"/>
      <c r="Q9" s="246"/>
      <c r="R9" s="246"/>
      <c r="S9" s="246"/>
      <c r="T9" s="245"/>
      <c r="U9" s="246"/>
      <c r="V9" s="246"/>
      <c r="W9" s="246"/>
      <c r="X9" s="246"/>
      <c r="Y9" s="246"/>
      <c r="Z9" s="247"/>
    </row>
    <row r="10" spans="1:26" ht="15.75" customHeight="1" x14ac:dyDescent="0.35">
      <c r="A10" s="248"/>
      <c r="B10" s="249"/>
      <c r="C10" s="250"/>
      <c r="D10" s="251"/>
      <c r="E10" s="251"/>
      <c r="F10" s="251"/>
      <c r="G10" s="251"/>
      <c r="H10" s="252"/>
      <c r="I10" s="252"/>
      <c r="J10" s="252"/>
      <c r="K10" s="252"/>
      <c r="L10" s="252"/>
      <c r="M10" s="252"/>
      <c r="N10" s="252"/>
      <c r="O10" s="252"/>
      <c r="P10" s="251"/>
      <c r="Q10" s="251"/>
      <c r="R10" s="251"/>
      <c r="S10" s="251"/>
      <c r="T10" s="252"/>
      <c r="U10" s="251"/>
      <c r="V10" s="251"/>
      <c r="W10" s="251"/>
      <c r="X10" s="251"/>
      <c r="Y10" s="251"/>
      <c r="Z10" s="253"/>
    </row>
    <row r="11" spans="1:26" ht="19.5" customHeight="1" x14ac:dyDescent="0.5">
      <c r="A11" s="233"/>
      <c r="B11" s="260" t="s">
        <v>364</v>
      </c>
      <c r="C11" s="261"/>
      <c r="D11" s="449" t="str">
        <f>IF(ISBLANK(Stammdaten!$C$8),"",Stammdaten!$C$8)</f>
        <v/>
      </c>
      <c r="E11" s="449"/>
      <c r="F11" s="449"/>
      <c r="G11" s="449"/>
      <c r="H11" s="235"/>
      <c r="I11" s="235"/>
      <c r="J11" s="235"/>
      <c r="K11" s="235"/>
      <c r="L11" s="235"/>
      <c r="M11" s="235"/>
      <c r="N11" s="235"/>
      <c r="O11" s="235"/>
      <c r="P11" s="118"/>
      <c r="Q11" s="118"/>
      <c r="R11" s="118"/>
      <c r="S11" s="118"/>
      <c r="T11" s="235"/>
      <c r="U11" s="118"/>
      <c r="V11" s="118"/>
      <c r="W11" s="118"/>
      <c r="X11" s="118"/>
      <c r="Y11" s="118"/>
      <c r="Z11" s="234"/>
    </row>
    <row r="12" spans="1:26" ht="15" thickBot="1" x14ac:dyDescent="0.4">
      <c r="A12" s="254"/>
      <c r="B12" s="255"/>
      <c r="C12" s="256"/>
      <c r="D12" s="257"/>
      <c r="E12" s="257"/>
      <c r="F12" s="257"/>
      <c r="G12" s="257"/>
      <c r="H12" s="258"/>
      <c r="I12" s="258"/>
      <c r="J12" s="258"/>
      <c r="K12" s="258"/>
      <c r="L12" s="258"/>
      <c r="M12" s="258"/>
      <c r="N12" s="258"/>
      <c r="O12" s="258"/>
      <c r="P12" s="257"/>
      <c r="Q12" s="257"/>
      <c r="R12" s="257"/>
      <c r="S12" s="257"/>
      <c r="T12" s="258"/>
      <c r="U12" s="257"/>
      <c r="V12" s="257"/>
      <c r="W12" s="257"/>
      <c r="X12" s="257"/>
      <c r="Y12" s="257"/>
      <c r="Z12" s="259"/>
    </row>
    <row r="13" spans="1:26" ht="24" customHeight="1" x14ac:dyDescent="0.35">
      <c r="A13" s="40"/>
      <c r="B13" s="228" t="s">
        <v>381</v>
      </c>
      <c r="C13" s="262"/>
      <c r="D13" s="228" t="str">
        <f>$D$11</f>
        <v/>
      </c>
      <c r="T13" s="8"/>
      <c r="Z13" s="41"/>
    </row>
    <row r="14" spans="1:26" ht="12" customHeight="1" x14ac:dyDescent="0.35">
      <c r="A14" s="40"/>
      <c r="B14" s="229"/>
      <c r="T14" s="8"/>
      <c r="Z14" s="41"/>
    </row>
    <row r="15" spans="1:26" ht="46" thickBot="1" x14ac:dyDescent="0.4">
      <c r="A15" s="40"/>
      <c r="C15" s="174"/>
      <c r="D15" s="189" t="s">
        <v>323</v>
      </c>
      <c r="E15" s="189" t="s">
        <v>422</v>
      </c>
      <c r="F15" s="189" t="s">
        <v>324</v>
      </c>
      <c r="G15" s="189" t="s">
        <v>423</v>
      </c>
      <c r="I15"/>
      <c r="J15"/>
      <c r="K15"/>
      <c r="L15"/>
      <c r="M15"/>
      <c r="N15"/>
      <c r="O15"/>
      <c r="Z15" s="41"/>
    </row>
    <row r="16" spans="1:26" ht="25.5" customHeight="1" x14ac:dyDescent="0.35">
      <c r="A16" s="40"/>
      <c r="C16" s="230" t="s">
        <v>375</v>
      </c>
      <c r="D16" s="318">
        <f>$G$37</f>
        <v>0</v>
      </c>
      <c r="E16" s="318" t="e">
        <f>($D$16*1000)/Stammdaten!$C$12</f>
        <v>#DIV/0!</v>
      </c>
      <c r="F16" s="318" t="e">
        <f>($D$16*1000)/(SUM(Tab_Gliederungselemente[Nettogrundfläche (m2)]))</f>
        <v>#DIV/0!</v>
      </c>
      <c r="G16" s="319"/>
      <c r="I16"/>
      <c r="J16"/>
      <c r="K16"/>
      <c r="L16"/>
      <c r="M16"/>
      <c r="N16"/>
      <c r="O16"/>
      <c r="Z16" s="41"/>
    </row>
    <row r="17" spans="1:26" ht="25.5" customHeight="1" x14ac:dyDescent="0.35">
      <c r="A17" s="40"/>
      <c r="C17" s="231" t="s">
        <v>373</v>
      </c>
      <c r="D17" s="320">
        <f>IF($D$6="ja",$G$42,"")</f>
        <v>0</v>
      </c>
      <c r="E17" s="320" t="e">
        <f>IF($D$6="ja",($D$17*1000)/Stammdaten!$C$12,"")</f>
        <v>#DIV/0!</v>
      </c>
      <c r="F17" s="320" t="e">
        <f>IF($D$6="ja",($D$17*1000)/(SUM(Tab_Gliederungselemente[Nettogrundfläche (m2)])),"")</f>
        <v>#DIV/0!</v>
      </c>
      <c r="G17" s="320" t="e">
        <f>IF($D$6="ja",($D$17*1000)/(Anreise_Besuchende[[#Totals],[Besucheranzahl]]),"")</f>
        <v>#DIV/0!</v>
      </c>
      <c r="I17"/>
      <c r="J17"/>
      <c r="K17"/>
      <c r="L17"/>
      <c r="M17"/>
      <c r="N17"/>
      <c r="O17"/>
      <c r="Z17" s="41"/>
    </row>
    <row r="18" spans="1:26" ht="25.5" customHeight="1" x14ac:dyDescent="0.35">
      <c r="A18" s="40"/>
      <c r="C18" s="232" t="s">
        <v>374</v>
      </c>
      <c r="D18" s="321">
        <f>IF($D$6="ja",SUM(D16,D17),"")</f>
        <v>0</v>
      </c>
      <c r="E18" s="321" t="e">
        <f>IF($D$6="ja",($D$18*1000)/Stammdaten!$C$12,"")</f>
        <v>#DIV/0!</v>
      </c>
      <c r="F18" s="321" t="e">
        <f>IF($D$6="ja",($D$18*1000)/(SUM(Tab_Gliederungselemente[Nettogrundfläche (m2)])),"")</f>
        <v>#DIV/0!</v>
      </c>
      <c r="G18" s="321" t="e">
        <f>IF($D$6="ja",($D$18*1000)/(Anreise_Besuchende[[#Totals],[Besucheranzahl]]),"")</f>
        <v>#DIV/0!</v>
      </c>
      <c r="I18"/>
      <c r="J18"/>
      <c r="K18"/>
      <c r="L18"/>
      <c r="M18"/>
      <c r="N18"/>
      <c r="O18"/>
      <c r="Z18" s="41"/>
    </row>
    <row r="19" spans="1:26" ht="27.75" customHeight="1" x14ac:dyDescent="0.35">
      <c r="A19" s="40"/>
      <c r="I19" s="48"/>
      <c r="J19" s="48"/>
      <c r="K19" s="48"/>
      <c r="L19" s="48"/>
      <c r="M19" s="48"/>
      <c r="N19" s="48"/>
      <c r="O19" s="48"/>
      <c r="P19" s="48"/>
      <c r="Q19" s="8"/>
      <c r="R19" s="8"/>
      <c r="S19" s="8"/>
      <c r="T19" s="8"/>
      <c r="U19" s="8"/>
      <c r="V19" s="8"/>
      <c r="Z19" s="41"/>
    </row>
    <row r="20" spans="1:26" ht="18.75" customHeight="1" thickBot="1" x14ac:dyDescent="0.4">
      <c r="A20" s="40"/>
      <c r="C20" s="191"/>
      <c r="D20" s="450" t="s">
        <v>0</v>
      </c>
      <c r="E20" s="450"/>
      <c r="F20" s="187" t="s">
        <v>226</v>
      </c>
      <c r="G20" s="187" t="s">
        <v>227</v>
      </c>
      <c r="I20" s="48"/>
      <c r="J20" s="48"/>
      <c r="K20" s="48"/>
      <c r="L20" s="48"/>
      <c r="M20" s="48"/>
      <c r="N20" s="48"/>
      <c r="O20" s="48"/>
      <c r="P20" s="48"/>
      <c r="Q20" s="8"/>
      <c r="R20" s="8"/>
      <c r="S20" s="8"/>
      <c r="T20" s="8"/>
      <c r="U20" s="8"/>
      <c r="V20" s="8"/>
      <c r="Z20" s="41"/>
    </row>
    <row r="21" spans="1:26" ht="18.75" customHeight="1" x14ac:dyDescent="0.35">
      <c r="A21" s="40"/>
      <c r="C21" s="445" t="s">
        <v>225</v>
      </c>
      <c r="D21" s="451" t="s">
        <v>217</v>
      </c>
      <c r="E21" s="451"/>
      <c r="F21" s="190">
        <f>IF($D$7="ja",IFERROR(Papierverbrauch_Büro[[#Totals],[Papierverbrauch 
(Anzahl Blatt Papier)]],""),"")</f>
        <v>0</v>
      </c>
      <c r="G21" s="190" t="str">
        <f>IF($D$7="ja","Blatt Papier","")</f>
        <v>Blatt Papier</v>
      </c>
      <c r="I21" s="48"/>
      <c r="J21" s="48"/>
      <c r="K21" s="48"/>
      <c r="L21" s="48"/>
      <c r="M21" s="48"/>
      <c r="N21" s="48"/>
      <c r="O21" s="48"/>
      <c r="P21" s="48"/>
      <c r="Q21" s="8"/>
      <c r="R21" s="8"/>
      <c r="S21" s="8"/>
      <c r="T21" s="8"/>
      <c r="U21" s="8"/>
      <c r="V21" s="8"/>
      <c r="Z21" s="41"/>
    </row>
    <row r="22" spans="1:26" ht="18.75" customHeight="1" x14ac:dyDescent="0.35">
      <c r="A22" s="40"/>
      <c r="C22" s="446"/>
      <c r="D22" s="452" t="s">
        <v>220</v>
      </c>
      <c r="E22" s="452"/>
      <c r="F22" s="176">
        <f>IF($D$7="ja",IFERROR(Druck_und_Werbematerialien[[#Totals],[Druck- und Werbematerialien
(Kilogramm)]],""),"")</f>
        <v>0</v>
      </c>
      <c r="G22" s="176" t="s">
        <v>30</v>
      </c>
      <c r="I22" s="48"/>
      <c r="J22" s="48"/>
      <c r="K22" s="48"/>
      <c r="L22" s="48"/>
      <c r="M22" s="48"/>
      <c r="N22" s="48"/>
      <c r="O22" s="48"/>
      <c r="P22" s="48"/>
      <c r="Q22" s="8"/>
      <c r="R22" s="8"/>
      <c r="S22" s="8"/>
      <c r="T22" s="8"/>
      <c r="U22" s="8"/>
      <c r="V22" s="8"/>
      <c r="Z22" s="41"/>
    </row>
    <row r="23" spans="1:26" ht="18.75" customHeight="1" x14ac:dyDescent="0.35">
      <c r="A23" s="40"/>
      <c r="C23" s="446"/>
      <c r="D23" s="452" t="s">
        <v>218</v>
      </c>
      <c r="E23" s="452"/>
      <c r="F23" s="176">
        <f>IF($D$7="ja",IFERROR(Verpackungsmaterialien[[#Totals],[Vepackungsmaterialien 
(Kilogramm)]],""),"")</f>
        <v>0</v>
      </c>
      <c r="G23" s="176" t="s">
        <v>30</v>
      </c>
      <c r="I23" s="48"/>
      <c r="J23" s="48"/>
      <c r="K23" s="48"/>
      <c r="L23" s="48"/>
      <c r="M23" s="48"/>
      <c r="N23" s="48"/>
      <c r="O23" s="48"/>
      <c r="P23" s="48"/>
      <c r="Q23" s="8"/>
      <c r="R23" s="8"/>
      <c r="S23" s="8"/>
      <c r="T23" s="8"/>
      <c r="U23" s="8"/>
      <c r="V23" s="8"/>
      <c r="Z23" s="41"/>
    </row>
    <row r="24" spans="1:26" ht="18.75" customHeight="1" x14ac:dyDescent="0.35">
      <c r="A24" s="40"/>
      <c r="C24" s="446"/>
      <c r="D24" s="452" t="s">
        <v>221</v>
      </c>
      <c r="E24" s="452"/>
      <c r="F24" s="176">
        <f>IF($D$7="ja",IFERROR(Wasserverbrauch[[#Totals],[Wasserverbrauch (m3)]],""),"")</f>
        <v>0</v>
      </c>
      <c r="G24" s="177" t="str">
        <f>IF($D$7="ja","m3","")</f>
        <v>m3</v>
      </c>
      <c r="I24" s="48"/>
      <c r="J24" s="48"/>
      <c r="K24" s="48"/>
      <c r="L24" s="48"/>
      <c r="M24" s="48"/>
      <c r="N24" s="48"/>
      <c r="O24" s="48"/>
      <c r="P24" s="48"/>
      <c r="Q24" s="8"/>
      <c r="R24" s="8"/>
      <c r="S24" s="8"/>
      <c r="T24" s="8"/>
      <c r="U24" s="8"/>
      <c r="V24" s="8"/>
      <c r="Z24" s="41"/>
    </row>
    <row r="25" spans="1:26" ht="27.75" customHeight="1" thickBot="1" x14ac:dyDescent="0.4">
      <c r="A25" s="49"/>
      <c r="B25" s="50"/>
      <c r="C25" s="236"/>
      <c r="D25" s="237"/>
      <c r="E25" s="237"/>
      <c r="F25" s="238"/>
      <c r="G25" s="50"/>
      <c r="H25" s="53"/>
      <c r="I25" s="239"/>
      <c r="J25" s="239"/>
      <c r="K25" s="239"/>
      <c r="L25" s="239"/>
      <c r="M25" s="239"/>
      <c r="N25" s="239"/>
      <c r="O25" s="239"/>
      <c r="P25" s="239"/>
      <c r="Q25" s="53"/>
      <c r="R25" s="53"/>
      <c r="S25" s="53"/>
      <c r="T25" s="53"/>
      <c r="U25" s="53"/>
      <c r="V25" s="53"/>
      <c r="W25" s="52"/>
      <c r="X25" s="52"/>
      <c r="Y25" s="52"/>
      <c r="Z25" s="54"/>
    </row>
    <row r="26" spans="1:26" s="9" customFormat="1" ht="24" customHeight="1" x14ac:dyDescent="0.35">
      <c r="A26" s="43"/>
      <c r="B26" s="228" t="s">
        <v>382</v>
      </c>
      <c r="C26" s="44"/>
      <c r="D26" s="228" t="str">
        <f>$D$11</f>
        <v/>
      </c>
      <c r="H26" s="45"/>
      <c r="I26" s="48"/>
      <c r="J26" s="48"/>
      <c r="K26" s="48"/>
      <c r="L26" s="48"/>
      <c r="M26" s="48"/>
      <c r="N26" s="48"/>
      <c r="O26" s="48"/>
      <c r="P26" s="48"/>
      <c r="Q26" s="8"/>
      <c r="R26" s="8"/>
      <c r="S26" s="8"/>
      <c r="T26" s="45"/>
      <c r="U26" s="45"/>
      <c r="V26" s="45"/>
      <c r="Z26" s="46"/>
    </row>
    <row r="27" spans="1:26" s="9" customFormat="1" ht="12" customHeight="1" x14ac:dyDescent="0.35">
      <c r="A27" s="43"/>
      <c r="B27" s="229"/>
      <c r="C27" s="44"/>
      <c r="H27" s="45"/>
      <c r="I27" s="48"/>
      <c r="J27" s="48"/>
      <c r="K27" s="48"/>
      <c r="L27" s="48"/>
      <c r="M27" s="48"/>
      <c r="N27" s="48"/>
      <c r="O27" s="48"/>
      <c r="P27" s="48"/>
      <c r="Q27" s="8"/>
      <c r="R27" s="8"/>
      <c r="S27" s="8"/>
      <c r="T27" s="45"/>
      <c r="U27" s="45"/>
      <c r="V27" s="45"/>
      <c r="Z27" s="46"/>
    </row>
    <row r="28" spans="1:26" ht="31.5" thickBot="1" x14ac:dyDescent="0.4">
      <c r="A28" s="40"/>
      <c r="B28" s="178"/>
      <c r="C28" s="187" t="s">
        <v>366</v>
      </c>
      <c r="D28" s="187" t="s">
        <v>325</v>
      </c>
      <c r="E28" s="187" t="s">
        <v>326</v>
      </c>
      <c r="F28" s="187" t="s">
        <v>327</v>
      </c>
      <c r="G28" s="187" t="s">
        <v>328</v>
      </c>
      <c r="I28" s="117" t="s">
        <v>235</v>
      </c>
      <c r="J28" s="117" t="s">
        <v>236</v>
      </c>
      <c r="K28" s="117" t="s">
        <v>136</v>
      </c>
      <c r="L28" s="117" t="s">
        <v>137</v>
      </c>
      <c r="M28" s="117" t="s">
        <v>138</v>
      </c>
      <c r="N28" s="117" t="s">
        <v>139</v>
      </c>
      <c r="P28" s="8"/>
      <c r="Q28" s="8"/>
      <c r="R28" s="8"/>
      <c r="S28" s="8"/>
      <c r="T28" s="8"/>
      <c r="U28" s="8"/>
      <c r="V28" s="8"/>
      <c r="Z28" s="41"/>
    </row>
    <row r="29" spans="1:26" s="9" customFormat="1" ht="18.75" customHeight="1" x14ac:dyDescent="0.35">
      <c r="A29" s="43"/>
      <c r="B29" s="444" t="s">
        <v>368</v>
      </c>
      <c r="C29" s="188" t="s">
        <v>14</v>
      </c>
      <c r="D29" s="322">
        <f>IFERROR(Wärme[[#Totals],[Scope 1 Ergebnis location-based '[kg CO2e']]]/1000,"")</f>
        <v>0</v>
      </c>
      <c r="E29" s="322">
        <f>IFERROR(Wärme[[#Totals],[Scope 2 Ergebnis location-based '[kg CO2e']]]/1000,"")</f>
        <v>0</v>
      </c>
      <c r="F29" s="322">
        <f>IFERROR(Wärme[[#Totals],[Scope 3 Ergebnis location-based '[kg CO2e']]]/1000,"")</f>
        <v>0</v>
      </c>
      <c r="G29" s="322">
        <f>SUM(D29:F29)</f>
        <v>0</v>
      </c>
      <c r="H29" s="45"/>
      <c r="I29" s="45"/>
      <c r="J29" s="45"/>
      <c r="K29" s="45" t="str">
        <f>VLOOKUP($C29,Sektor_Thema[],6,FALSE)</f>
        <v>Kat. 1</v>
      </c>
      <c r="L29" s="45" t="str">
        <f>VLOOKUP($C29,Sektor_Thema[],7,FALSE)</f>
        <v>Kat. 2</v>
      </c>
      <c r="M29" s="45" t="str">
        <f>VLOOKUP($C29,Sektor_Thema[],8,FALSE)</f>
        <v>Kat. 3</v>
      </c>
      <c r="N29" s="45" t="str">
        <f>VLOOKUP($C29,Sektor_Thema[],9,FALSE)</f>
        <v>-</v>
      </c>
      <c r="O29" s="45"/>
      <c r="P29" s="45"/>
      <c r="Q29" s="45"/>
      <c r="R29" s="45"/>
      <c r="S29" s="45"/>
      <c r="T29" s="45"/>
      <c r="U29" s="45"/>
      <c r="V29" s="45"/>
      <c r="Z29" s="46"/>
    </row>
    <row r="30" spans="1:26" s="9" customFormat="1" ht="18.75" customHeight="1" x14ac:dyDescent="0.35">
      <c r="A30" s="43"/>
      <c r="B30" s="444"/>
      <c r="C30" s="179" t="s">
        <v>18</v>
      </c>
      <c r="D30" s="323">
        <f>IFERROR(Strom[[#Totals],[Scope 1 Ergebnis location-based '[kg CO2e']]]/1000,"")</f>
        <v>0</v>
      </c>
      <c r="E30" s="323">
        <f>IFERROR(Strom[[#Totals],[Scope 2 Ergebnis location-based '[kg CO2e']]]/1000,"")</f>
        <v>0</v>
      </c>
      <c r="F30" s="323">
        <f>IFERROR(Strom[[#Totals],[Scope 3 Ergebnis location-based '[kg CO2e']]]/1000,"")</f>
        <v>0</v>
      </c>
      <c r="G30" s="323">
        <f t="shared" ref="G30:G36" si="0">SUM(D30:F30)</f>
        <v>0</v>
      </c>
      <c r="H30" s="45"/>
      <c r="I30" s="45"/>
      <c r="J30" s="45"/>
      <c r="K30" s="45" t="str">
        <f>VLOOKUP($C30,Sektor_Thema[],6,FALSE)</f>
        <v>Kat. 1</v>
      </c>
      <c r="L30" s="45" t="str">
        <f>VLOOKUP($C30,Sektor_Thema[],7,FALSE)</f>
        <v>Kat. 1</v>
      </c>
      <c r="M30" s="45" t="str">
        <f>VLOOKUP($C30,Sektor_Thema[],8,FALSE)</f>
        <v>Kat. 3</v>
      </c>
      <c r="N30" s="45" t="str">
        <f>VLOOKUP($C30,Sektor_Thema[],9,FALSE)</f>
        <v>-</v>
      </c>
      <c r="O30" s="45"/>
      <c r="P30" s="45"/>
      <c r="Q30" s="45"/>
      <c r="R30" s="45"/>
      <c r="S30" s="45"/>
      <c r="T30" s="45"/>
      <c r="U30" s="45"/>
      <c r="V30" s="45"/>
      <c r="Z30" s="46"/>
    </row>
    <row r="31" spans="1:26" s="9" customFormat="1" ht="18.75" customHeight="1" x14ac:dyDescent="0.35">
      <c r="A31" s="43"/>
      <c r="B31" s="444"/>
      <c r="C31" s="179" t="s">
        <v>16</v>
      </c>
      <c r="D31" s="323">
        <f>IFERROR(Kühl_und_Kältemittel[[#Totals],[Scope 1 Ergebnis location-based '[kg CO2e']]]/1000,"")</f>
        <v>0</v>
      </c>
      <c r="E31" s="323">
        <f>IFERROR(Kühl_und_Kältemittel[[#Totals],[Scope 2 Ergebnis location-based '[kg CO2e']]]/1000,"")</f>
        <v>0</v>
      </c>
      <c r="F31" s="323">
        <f>IFERROR(Kühl_und_Kältemittel[[#Totals],[Scope 3 Ergebnis location-based '[kg CO2e']]]/1000,"")</f>
        <v>0</v>
      </c>
      <c r="G31" s="323">
        <f t="shared" si="0"/>
        <v>0</v>
      </c>
      <c r="H31" s="45"/>
      <c r="I31" s="45"/>
      <c r="J31" s="45"/>
      <c r="K31" s="45" t="str">
        <f>VLOOKUP($C31,Sektor_Thema[],6,FALSE)</f>
        <v>Kat. 4</v>
      </c>
      <c r="L31" s="45" t="str">
        <f>VLOOKUP($C31,Sektor_Thema[],7,FALSE)</f>
        <v>-</v>
      </c>
      <c r="M31" s="45" t="str">
        <f>VLOOKUP($C31,Sektor_Thema[],8,FALSE)</f>
        <v>-</v>
      </c>
      <c r="N31" s="45" t="str">
        <f>VLOOKUP($C31,Sektor_Thema[],9,FALSE)</f>
        <v>-</v>
      </c>
      <c r="O31" s="45"/>
      <c r="P31" s="45"/>
      <c r="Q31" s="45"/>
      <c r="R31" s="45"/>
      <c r="S31" s="45"/>
      <c r="T31" s="45"/>
      <c r="U31" s="45"/>
      <c r="V31" s="45"/>
      <c r="Z31" s="46"/>
    </row>
    <row r="32" spans="1:26" s="9" customFormat="1" ht="18.75" customHeight="1" x14ac:dyDescent="0.35">
      <c r="A32" s="43"/>
      <c r="B32" s="444"/>
      <c r="C32" s="179" t="s">
        <v>15</v>
      </c>
      <c r="D32" s="323">
        <f>IFERROR(Fuhrpark[[#Totals],[Scope 1 Ergebnis location-based '[kg CO2e']]]/1000,"")</f>
        <v>0</v>
      </c>
      <c r="E32" s="323">
        <f>IFERROR(Fuhrpark[[#Totals],[Scope 2 Ergebnis location-based '[kg CO2e']]]/1000,"")</f>
        <v>0</v>
      </c>
      <c r="F32" s="323">
        <f>IFERROR(Fuhrpark[[#Totals],[Scope 3 Ergebnis location-based '[kg CO2e']]]/1000,"")</f>
        <v>0</v>
      </c>
      <c r="G32" s="323">
        <f t="shared" si="0"/>
        <v>0</v>
      </c>
      <c r="H32" s="45"/>
      <c r="I32" s="45"/>
      <c r="J32" s="45"/>
      <c r="K32" s="45" t="str">
        <f>VLOOKUP($C32,Sektor_Thema[],6,FALSE)</f>
        <v>Kat. 2</v>
      </c>
      <c r="L32" s="45" t="str">
        <f>VLOOKUP($C32,Sektor_Thema[],7,FALSE)</f>
        <v>Kat. 1</v>
      </c>
      <c r="M32" s="45" t="str">
        <f>VLOOKUP($C32,Sektor_Thema[],8,FALSE)</f>
        <v>Kat. 3</v>
      </c>
      <c r="N32" s="45" t="str">
        <f>VLOOKUP($C32,Sektor_Thema[],9,FALSE)</f>
        <v>-</v>
      </c>
      <c r="O32" s="45"/>
      <c r="P32" s="45"/>
      <c r="Q32" s="45"/>
      <c r="R32" s="45"/>
      <c r="S32" s="45"/>
      <c r="T32" s="45"/>
      <c r="U32" s="45"/>
      <c r="V32" s="45"/>
      <c r="Z32" s="46"/>
    </row>
    <row r="33" spans="1:26" s="9" customFormat="1" ht="18.75" customHeight="1" x14ac:dyDescent="0.35">
      <c r="A33" s="43"/>
      <c r="B33" s="444"/>
      <c r="C33" s="179" t="s">
        <v>21</v>
      </c>
      <c r="D33" s="323">
        <f>IFERROR(Geschäftsreisen[[#Totals],[Scope 1 Ergebnis location-based '[kg CO2e']]]/1000,"")</f>
        <v>0</v>
      </c>
      <c r="E33" s="323">
        <f>IFERROR(Geschäftsreisen[[#Totals],[Scope 2 Ergebnis location-based '[kg CO2e']]]/1000,"")</f>
        <v>0</v>
      </c>
      <c r="F33" s="323">
        <f>IFERROR(Geschäftsreisen[[#Totals],[Scope 3 Ergebnis location-based '[kg CO2e']]]/1000,"")</f>
        <v>0</v>
      </c>
      <c r="G33" s="323">
        <f t="shared" si="0"/>
        <v>0</v>
      </c>
      <c r="H33" s="45"/>
      <c r="I33" s="45"/>
      <c r="J33" s="45"/>
      <c r="K33" s="45" t="str">
        <f>VLOOKUP($C33,Sektor_Thema[],6,FALSE)</f>
        <v>-</v>
      </c>
      <c r="L33" s="45" t="str">
        <f>VLOOKUP($C33,Sektor_Thema[],7,FALSE)</f>
        <v>-</v>
      </c>
      <c r="M33" s="45" t="str">
        <f>VLOOKUP($C33,Sektor_Thema[],8,FALSE)</f>
        <v>Kat. 6</v>
      </c>
      <c r="N33" s="45" t="str">
        <f>VLOOKUP($C33,Sektor_Thema[],9,FALSE)</f>
        <v>-</v>
      </c>
      <c r="O33" s="45"/>
      <c r="P33" s="45"/>
      <c r="Q33" s="45"/>
      <c r="R33" s="45"/>
      <c r="S33" s="45"/>
      <c r="T33" s="45"/>
      <c r="U33" s="45"/>
      <c r="V33" s="45"/>
      <c r="Z33" s="46"/>
    </row>
    <row r="34" spans="1:26" s="9" customFormat="1" ht="18.75" customHeight="1" x14ac:dyDescent="0.35">
      <c r="A34" s="43"/>
      <c r="B34" s="444"/>
      <c r="C34" s="179" t="s">
        <v>74</v>
      </c>
      <c r="D34" s="323">
        <f>IFERROR(Pendeln_Mitarbeitende[[#Totals],[Scope 1 Ergebnis location-based '[kg CO2e']]]/1000,"")</f>
        <v>0</v>
      </c>
      <c r="E34" s="323">
        <f>IFERROR(Pendeln_Mitarbeitende[[#Totals],[Scope 2 Ergebnis location-based '[kg CO2e']]]/1000,"")</f>
        <v>0</v>
      </c>
      <c r="F34" s="323">
        <f>IFERROR(Pendeln_Mitarbeitende[[#Totals],[Scope 3 Ergebnis location-based '[kg CO2e']]]/1000,"")</f>
        <v>0</v>
      </c>
      <c r="G34" s="323">
        <f t="shared" si="0"/>
        <v>0</v>
      </c>
      <c r="H34" s="45"/>
      <c r="I34" s="45"/>
      <c r="J34" s="45"/>
      <c r="K34" s="45" t="str">
        <f>VLOOKUP($C34,Sektor_Thema[],6,FALSE)</f>
        <v>-</v>
      </c>
      <c r="L34" s="45" t="str">
        <f>VLOOKUP($C34,Sektor_Thema[],7,FALSE)</f>
        <v>-</v>
      </c>
      <c r="M34" s="45" t="str">
        <f>VLOOKUP($C34,Sektor_Thema[],8,FALSE)</f>
        <v>Kat. 7</v>
      </c>
      <c r="N34" s="45" t="str">
        <f>VLOOKUP($C34,Sektor_Thema[],9,FALSE)</f>
        <v>-</v>
      </c>
      <c r="O34" s="45"/>
      <c r="P34" s="45"/>
      <c r="Q34" s="45"/>
      <c r="R34" s="45"/>
      <c r="S34" s="45"/>
      <c r="T34" s="45"/>
      <c r="U34" s="45"/>
      <c r="V34" s="45"/>
      <c r="Z34" s="46"/>
    </row>
    <row r="35" spans="1:26" s="9" customFormat="1" ht="18.75" customHeight="1" x14ac:dyDescent="0.35">
      <c r="A35" s="43"/>
      <c r="B35" s="444"/>
      <c r="C35" s="179" t="s">
        <v>144</v>
      </c>
      <c r="D35" s="323">
        <f>IFERROR(Externe[[#Totals],[Scope 1 Ergebnis location-based '[kg CO2e']]]/1000,"")</f>
        <v>0</v>
      </c>
      <c r="E35" s="323">
        <f>IFERROR(Externe[[#Totals],[Scope 2 Ergebnis location-based '[kg CO2e']]]/1000,"")</f>
        <v>0</v>
      </c>
      <c r="F35" s="323">
        <f>IFERROR(Externe[[#Totals],[Scope 3 Ergebnis location-based '[kg CO2e']]]/1000,"")</f>
        <v>0</v>
      </c>
      <c r="G35" s="323">
        <f t="shared" si="0"/>
        <v>0</v>
      </c>
      <c r="H35" s="45"/>
      <c r="I35" s="45"/>
      <c r="J35" s="45"/>
      <c r="K35" s="45" t="str">
        <f>VLOOKUP($C35,Sektor_Thema[],6,FALSE)</f>
        <v>-</v>
      </c>
      <c r="L35" s="45" t="str">
        <f>VLOOKUP($C35,Sektor_Thema[],7,FALSE)</f>
        <v>-</v>
      </c>
      <c r="M35" s="45" t="str">
        <f>VLOOKUP($C35,Sektor_Thema[],8,FALSE)</f>
        <v>Kat. 1</v>
      </c>
      <c r="N35" s="45" t="str">
        <f>VLOOKUP($C35,Sektor_Thema[],9,FALSE)</f>
        <v>-</v>
      </c>
      <c r="O35" s="45"/>
      <c r="P35" s="45"/>
      <c r="Q35" s="45"/>
      <c r="R35" s="45"/>
      <c r="S35" s="45"/>
      <c r="T35" s="45"/>
      <c r="U35" s="45"/>
      <c r="V35" s="45"/>
      <c r="Z35" s="46"/>
    </row>
    <row r="36" spans="1:26" s="9" customFormat="1" ht="18.75" customHeight="1" x14ac:dyDescent="0.35">
      <c r="A36" s="43"/>
      <c r="B36" s="444"/>
      <c r="C36" s="179" t="s">
        <v>77</v>
      </c>
      <c r="D36" s="323">
        <f>IFERROR(Warentransporte[[#Totals],[Scope 1 Ergebnis location-based '[kg CO2e']]]/1000,"")</f>
        <v>0</v>
      </c>
      <c r="E36" s="323">
        <f>IFERROR(Warentransporte[[#Totals],[Scope 2 Ergebnis location-based '[kg CO2e']]]/1000,"")</f>
        <v>0</v>
      </c>
      <c r="F36" s="323">
        <f>IFERROR(Warentransporte[[#Totals],[Scope 3 Ergebnis location-based '[kg CO2e']]]/1000,"")</f>
        <v>0</v>
      </c>
      <c r="G36" s="323">
        <f t="shared" si="0"/>
        <v>0</v>
      </c>
      <c r="H36" s="45"/>
      <c r="I36" s="45"/>
      <c r="J36" s="45"/>
      <c r="K36" s="45" t="str">
        <f>VLOOKUP($C36,Sektor_Thema[],6,FALSE)</f>
        <v>-</v>
      </c>
      <c r="L36" s="45" t="str">
        <f>VLOOKUP($C36,Sektor_Thema[],7,FALSE)</f>
        <v>-</v>
      </c>
      <c r="M36" s="45" t="str">
        <f>VLOOKUP($C36,Sektor_Thema[],8,FALSE)</f>
        <v>Kat. 4</v>
      </c>
      <c r="N36" s="45" t="str">
        <f>VLOOKUP($C36,Sektor_Thema[],9,FALSE)</f>
        <v>-</v>
      </c>
      <c r="O36" s="45"/>
      <c r="P36" s="45"/>
      <c r="Q36" s="45"/>
      <c r="R36" s="45"/>
      <c r="S36" s="45"/>
      <c r="T36" s="45"/>
      <c r="U36" s="45"/>
      <c r="V36" s="45"/>
      <c r="Z36" s="46"/>
    </row>
    <row r="37" spans="1:26" s="9" customFormat="1" ht="18.75" customHeight="1" x14ac:dyDescent="0.35">
      <c r="A37" s="43"/>
      <c r="B37" s="444"/>
      <c r="C37" s="180" t="s">
        <v>376</v>
      </c>
      <c r="D37" s="324">
        <f>SUM(D29:D36)</f>
        <v>0</v>
      </c>
      <c r="E37" s="324">
        <f>SUM(E29:E36)</f>
        <v>0</v>
      </c>
      <c r="F37" s="324">
        <f>SUM(F29:F36)</f>
        <v>0</v>
      </c>
      <c r="G37" s="324">
        <f>SUM(D37:F37)</f>
        <v>0</v>
      </c>
      <c r="H37" s="45"/>
      <c r="I37" s="45"/>
      <c r="J37" s="45"/>
      <c r="K37" s="45"/>
      <c r="L37" s="45"/>
      <c r="M37" s="45"/>
      <c r="N37" s="45"/>
      <c r="O37" s="45"/>
      <c r="P37" s="45"/>
      <c r="Q37" s="45"/>
      <c r="R37" s="45"/>
      <c r="S37" s="45"/>
      <c r="T37" s="45"/>
      <c r="U37" s="45"/>
      <c r="V37" s="45"/>
      <c r="Z37" s="46"/>
    </row>
    <row r="38" spans="1:26" s="9" customFormat="1" ht="18.75" customHeight="1" x14ac:dyDescent="0.35">
      <c r="A38" s="43"/>
      <c r="B38" s="435" t="s">
        <v>369</v>
      </c>
      <c r="C38" s="181" t="s">
        <v>75</v>
      </c>
      <c r="D38" s="325">
        <f>IF($D$6="ja",IFERROR(Anreise_Besuchende[[#Totals],[Scope 1 Ergebnis location-based '[kg CO2e']]]/1000,""),"")</f>
        <v>0</v>
      </c>
      <c r="E38" s="325">
        <f>IF($D$6="ja",IFERROR(Anreise_Besuchende[[#Totals],[Scope 2 Ergebnis location-based '[kg CO2e']]]/1000,""),"")</f>
        <v>0</v>
      </c>
      <c r="F38" s="325">
        <f>IF($D$6="ja",IFERROR(Anreise_Besuchende[[#Totals],[Scope 3 Ergebnis location-based '[kg CO2e']]]/1000,""),"")</f>
        <v>0</v>
      </c>
      <c r="G38" s="325">
        <f t="shared" ref="G38:G43" si="1">IF($D$6="ja",SUM(D38:F38),"")</f>
        <v>0</v>
      </c>
      <c r="H38" s="45"/>
      <c r="I38" s="45"/>
      <c r="J38" s="45"/>
      <c r="K38" s="45" t="str">
        <f>VLOOKUP($C38,Sektor_Thema[],6,FALSE)</f>
        <v>-</v>
      </c>
      <c r="L38" s="45" t="str">
        <f>VLOOKUP($C38,Sektor_Thema[],7,FALSE)</f>
        <v>-</v>
      </c>
      <c r="M38" s="45" t="str">
        <f>VLOOKUP($C38,Sektor_Thema[],8,FALSE)</f>
        <v>Kat. 9</v>
      </c>
      <c r="N38" s="45" t="str">
        <f>VLOOKUP($C38,Sektor_Thema[],9,FALSE)</f>
        <v>-</v>
      </c>
      <c r="O38" s="45"/>
      <c r="P38" s="45"/>
      <c r="Q38" s="45"/>
      <c r="R38" s="45"/>
      <c r="S38" s="45"/>
      <c r="T38" s="45"/>
      <c r="U38" s="45"/>
      <c r="V38" s="45"/>
      <c r="Z38" s="46"/>
    </row>
    <row r="39" spans="1:26" s="9" customFormat="1" ht="18.75" customHeight="1" x14ac:dyDescent="0.35">
      <c r="A39" s="43"/>
      <c r="B39" s="436"/>
      <c r="C39" s="181" t="s">
        <v>339</v>
      </c>
      <c r="D39" s="325">
        <f>IF($D$6="ja",IFERROR(Medien[[#Totals],[Scope 1 Ergebnis location-based '[kg CO2e']]]/1000,""))</f>
        <v>0</v>
      </c>
      <c r="E39" s="325">
        <f>IF($D$6="ja",IFERROR(Medien[[#Totals],[Scope 2 Ergebnis location-based '[kg CO2e']]]/1000,""),"")</f>
        <v>0</v>
      </c>
      <c r="F39" s="325">
        <f>IF($D$6="ja",IFERROR(Medien[[#Totals],[Scope 3 Ergebnis location-based '[kg CO2e']]]/1000,""),"")</f>
        <v>0</v>
      </c>
      <c r="G39" s="325">
        <f t="shared" si="1"/>
        <v>0</v>
      </c>
      <c r="H39" s="45"/>
      <c r="I39" s="45"/>
      <c r="J39" s="45"/>
      <c r="K39" s="45" t="str">
        <f>VLOOKUP($C39,Sektor_Thema[],6,FALSE)</f>
        <v>-</v>
      </c>
      <c r="L39" s="45" t="str">
        <f>VLOOKUP($C39,Sektor_Thema[],7,FALSE)</f>
        <v>-</v>
      </c>
      <c r="M39" s="45" t="str">
        <f>VLOOKUP($C39,Sektor_Thema[],8,FALSE)</f>
        <v>Kat. 1</v>
      </c>
      <c r="N39" s="45" t="str">
        <f>VLOOKUP($C39,Sektor_Thema[],9,FALSE)</f>
        <v>-</v>
      </c>
      <c r="O39" s="45"/>
      <c r="P39" s="45"/>
      <c r="Q39" s="45"/>
      <c r="R39" s="45"/>
      <c r="S39" s="45"/>
      <c r="T39" s="45"/>
      <c r="U39" s="45"/>
      <c r="V39" s="45"/>
      <c r="Z39" s="46"/>
    </row>
    <row r="40" spans="1:26" s="9" customFormat="1" ht="18.75" customHeight="1" x14ac:dyDescent="0.35">
      <c r="A40" s="43"/>
      <c r="B40" s="436"/>
      <c r="C40" s="181" t="s">
        <v>23</v>
      </c>
      <c r="D40" s="325">
        <f>IF($D$6="ja",IFERROR(IT_Dienstleistungen[[#Totals],[Scope 1 Ergebnis location-based '[kg CO2e']]]/1000,""),"")</f>
        <v>0</v>
      </c>
      <c r="E40" s="325">
        <f>IF($D$6="ja",IFERROR(IT_Dienstleistungen[[#Totals],[Scope 2 Ergebnis location-based '[kg CO2e']]]/1000,""),"")</f>
        <v>0</v>
      </c>
      <c r="F40" s="325">
        <f>IF($D$6="ja",IFERROR(IT_Dienstleistungen[[#Totals],[Scope 3 Ergebnis location-based '[kg CO2e']]]/1000,""),"")</f>
        <v>0</v>
      </c>
      <c r="G40" s="325">
        <f t="shared" si="1"/>
        <v>0</v>
      </c>
      <c r="H40" s="45"/>
      <c r="I40" s="45"/>
      <c r="J40" s="45"/>
      <c r="K40" s="45" t="str">
        <f>VLOOKUP($C40,Sektor_Thema[],6,FALSE)</f>
        <v>-</v>
      </c>
      <c r="L40" s="45" t="str">
        <f>VLOOKUP($C40,Sektor_Thema[],7,FALSE)</f>
        <v>-</v>
      </c>
      <c r="M40" s="45" t="str">
        <f>VLOOKUP($C40,Sektor_Thema[],8,FALSE)</f>
        <v>Kat. 1</v>
      </c>
      <c r="N40" s="45" t="str">
        <f>VLOOKUP($C40,Sektor_Thema[],9,FALSE)</f>
        <v>-</v>
      </c>
      <c r="O40" s="45"/>
      <c r="P40" s="45"/>
      <c r="Q40" s="45"/>
      <c r="R40" s="45"/>
      <c r="S40" s="45"/>
      <c r="T40" s="45"/>
      <c r="U40" s="45"/>
      <c r="V40" s="45"/>
      <c r="Z40" s="46"/>
    </row>
    <row r="41" spans="1:26" s="9" customFormat="1" ht="18.75" customHeight="1" x14ac:dyDescent="0.35">
      <c r="A41" s="43"/>
      <c r="B41" s="436"/>
      <c r="C41" s="181" t="s">
        <v>22</v>
      </c>
      <c r="D41" s="325">
        <f>IF($D$6="ja",IFERROR(Relevante_Stoffströme[[#Totals],[Scope 1 Ergebnis location-based '[kg CO2e']]]/1000,""),"")</f>
        <v>0</v>
      </c>
      <c r="E41" s="325">
        <f>IF($D$6="ja",IFERROR(Relevante_Stoffströme[[#Totals],[Scope 2 Ergebnis location-based '[kg CO2e']]]/1000,""),"")</f>
        <v>0</v>
      </c>
      <c r="F41" s="325">
        <f>IF($D$6="ja",IFERROR(SUM(Relevante_Stoffströme[[#Totals],[Scope 3.1 Ergebnis location-based '[kg CO2e']]:[Scope 3.5 Ergebnis location-based '[kg CO2e']]]),"")/1000,"")</f>
        <v>0</v>
      </c>
      <c r="G41" s="325">
        <f t="shared" si="1"/>
        <v>0</v>
      </c>
      <c r="H41" s="45"/>
      <c r="I41" s="45">
        <f>IFERROR(SUM(Relevante_Stoffströme[[#Totals],[Scope 3.1 Ergebnis location-based '[kg CO2e']]])/1000,"")</f>
        <v>0</v>
      </c>
      <c r="J41" s="292">
        <f>IFERROR(SUM(Relevante_Stoffströme[[#Totals],[Scope 3.5 Ergebnis location-based '[kg CO2e']]])/1000,"")</f>
        <v>0</v>
      </c>
      <c r="K41" s="45" t="str">
        <f>VLOOKUP($C41,Sektor_Thema[],6,FALSE)</f>
        <v>-</v>
      </c>
      <c r="L41" s="45" t="str">
        <f>VLOOKUP($C41,Sektor_Thema[],7,FALSE)</f>
        <v>-</v>
      </c>
      <c r="M41" s="45" t="str">
        <f>VLOOKUP($C41,Sektor_Thema[],8,FALSE)</f>
        <v>Kat. 1</v>
      </c>
      <c r="N41" s="45" t="str">
        <f>VLOOKUP($C41,Sektor_Thema[],9,FALSE)</f>
        <v>Kat. 5</v>
      </c>
      <c r="O41" s="45"/>
      <c r="P41" s="45"/>
      <c r="Q41" s="45"/>
      <c r="R41" s="45"/>
      <c r="S41" s="45"/>
      <c r="T41" s="45"/>
      <c r="U41" s="45"/>
      <c r="V41" s="45"/>
      <c r="Z41" s="46"/>
    </row>
    <row r="42" spans="1:26" s="9" customFormat="1" ht="18.75" customHeight="1" x14ac:dyDescent="0.35">
      <c r="A42" s="43"/>
      <c r="B42" s="437"/>
      <c r="C42" s="182" t="s">
        <v>377</v>
      </c>
      <c r="D42" s="326">
        <f>IF($D$6="ja",SUM(D38:D41),"")</f>
        <v>0</v>
      </c>
      <c r="E42" s="326">
        <f>IF($D$6="ja",SUM(E38:E41),"")</f>
        <v>0</v>
      </c>
      <c r="F42" s="326">
        <f>IF($D$6="ja",SUM(F38:F41),"")</f>
        <v>0</v>
      </c>
      <c r="G42" s="326">
        <f t="shared" si="1"/>
        <v>0</v>
      </c>
      <c r="H42" s="45"/>
      <c r="I42" s="45"/>
      <c r="J42" s="45"/>
      <c r="K42" s="45"/>
      <c r="L42" s="45"/>
      <c r="M42" s="45"/>
      <c r="N42" s="45"/>
      <c r="O42" s="45"/>
      <c r="P42" s="45"/>
      <c r="Q42" s="45"/>
      <c r="R42" s="45"/>
      <c r="S42" s="45"/>
      <c r="T42" s="45"/>
      <c r="U42" s="45"/>
      <c r="V42" s="45"/>
      <c r="Z42" s="46"/>
    </row>
    <row r="43" spans="1:26" ht="18.75" customHeight="1" x14ac:dyDescent="0.35">
      <c r="A43" s="40"/>
      <c r="B43" s="232" t="s">
        <v>374</v>
      </c>
      <c r="C43" s="175"/>
      <c r="D43" s="321">
        <f>IF($D$6="ja",D37+D42,"")</f>
        <v>0</v>
      </c>
      <c r="E43" s="321">
        <f>IF($D$6="ja",E37+E42,"")</f>
        <v>0</v>
      </c>
      <c r="F43" s="321">
        <f>IF($D$6="ja",F37+F42,"")</f>
        <v>0</v>
      </c>
      <c r="G43" s="321">
        <f t="shared" si="1"/>
        <v>0</v>
      </c>
      <c r="P43" s="8"/>
      <c r="Q43" s="8"/>
      <c r="R43" s="8"/>
      <c r="S43" s="8"/>
      <c r="T43" s="8"/>
      <c r="U43" s="8"/>
      <c r="V43" s="8"/>
      <c r="Z43" s="41"/>
    </row>
    <row r="44" spans="1:26" s="9" customFormat="1" ht="24" customHeight="1" x14ac:dyDescent="0.35">
      <c r="A44" s="43"/>
      <c r="B44" s="15"/>
      <c r="C44" s="10"/>
      <c r="D44"/>
      <c r="E44"/>
      <c r="F44"/>
      <c r="G44"/>
      <c r="H44" s="45"/>
      <c r="I44" s="45"/>
      <c r="J44" s="45"/>
      <c r="K44" s="45"/>
      <c r="L44" s="45"/>
      <c r="M44" s="45"/>
      <c r="N44" s="45"/>
      <c r="O44" s="45"/>
      <c r="P44" s="45"/>
      <c r="Q44" s="45"/>
      <c r="R44" s="45"/>
      <c r="S44" s="45"/>
      <c r="T44" s="45"/>
      <c r="U44" s="45"/>
      <c r="V44" s="45"/>
      <c r="Z44" s="46"/>
    </row>
    <row r="45" spans="1:26" ht="18.5" x14ac:dyDescent="0.35">
      <c r="A45" s="40"/>
      <c r="B45" s="42"/>
      <c r="C45" s="44"/>
      <c r="D45" s="9"/>
      <c r="E45" s="9"/>
      <c r="F45" s="9"/>
      <c r="G45" s="9"/>
      <c r="P45" s="8"/>
      <c r="Q45" s="8"/>
      <c r="R45" s="8"/>
      <c r="S45" s="8"/>
      <c r="T45" s="8"/>
      <c r="U45" s="8"/>
      <c r="V45" s="8"/>
      <c r="Z45" s="41"/>
    </row>
    <row r="46" spans="1:26" ht="18.75" customHeight="1" x14ac:dyDescent="0.35">
      <c r="A46" s="40"/>
      <c r="B46" s="89"/>
      <c r="C46" s="90"/>
      <c r="D46" s="91"/>
      <c r="E46" s="91"/>
      <c r="P46" s="8"/>
      <c r="Q46" s="8"/>
      <c r="R46" s="8"/>
      <c r="S46" s="8"/>
      <c r="T46" s="8"/>
      <c r="U46" s="8"/>
      <c r="V46" s="8"/>
      <c r="Z46" s="41"/>
    </row>
    <row r="47" spans="1:26" ht="18.75" customHeight="1" x14ac:dyDescent="0.35">
      <c r="A47" s="40"/>
      <c r="B47" s="269"/>
      <c r="C47" s="44"/>
      <c r="D47" s="9"/>
      <c r="E47" s="9"/>
      <c r="P47" s="8"/>
      <c r="Q47" s="8"/>
      <c r="R47" s="8"/>
      <c r="S47" s="8"/>
      <c r="T47" s="8"/>
      <c r="U47" s="8"/>
      <c r="V47" s="8"/>
      <c r="Z47" s="41"/>
    </row>
    <row r="48" spans="1:26" ht="12.75" customHeight="1" x14ac:dyDescent="0.35">
      <c r="A48" s="40"/>
      <c r="B48" s="269"/>
      <c r="C48" s="44"/>
      <c r="D48" s="9"/>
      <c r="E48" s="9"/>
      <c r="P48" s="8"/>
      <c r="Q48" s="8"/>
      <c r="R48" s="8"/>
      <c r="S48" s="8"/>
      <c r="T48" s="8"/>
      <c r="U48" s="8"/>
      <c r="V48" s="8"/>
      <c r="Z48" s="41"/>
    </row>
    <row r="49" spans="1:26" ht="6" customHeight="1" x14ac:dyDescent="0.35">
      <c r="A49" s="40"/>
      <c r="B49" s="269"/>
      <c r="C49" s="44"/>
      <c r="D49" s="9"/>
      <c r="E49" s="9"/>
      <c r="P49" s="8"/>
      <c r="Q49" s="8"/>
      <c r="R49" s="8"/>
      <c r="S49" s="8"/>
      <c r="T49" s="8"/>
      <c r="U49" s="8"/>
      <c r="V49" s="8"/>
      <c r="Z49" s="41"/>
    </row>
    <row r="50" spans="1:26" ht="6" customHeight="1" x14ac:dyDescent="0.35">
      <c r="A50" s="40"/>
      <c r="B50" s="269"/>
      <c r="C50" s="44"/>
      <c r="D50" s="9"/>
      <c r="E50" s="9"/>
      <c r="P50" s="8"/>
      <c r="Q50" s="8"/>
      <c r="R50" s="8"/>
      <c r="S50" s="8"/>
      <c r="T50" s="8"/>
      <c r="U50" s="8"/>
      <c r="V50" s="8"/>
      <c r="Z50" s="41"/>
    </row>
    <row r="51" spans="1:26" ht="6" customHeight="1" x14ac:dyDescent="0.35">
      <c r="A51" s="40"/>
      <c r="P51" s="8"/>
      <c r="Q51" s="8"/>
      <c r="R51" s="8"/>
      <c r="S51" s="8"/>
      <c r="T51" s="8"/>
      <c r="U51" s="8"/>
      <c r="V51" s="8"/>
      <c r="Z51" s="41"/>
    </row>
    <row r="52" spans="1:26" ht="6" customHeight="1" thickBot="1" x14ac:dyDescent="0.4">
      <c r="A52" s="49"/>
      <c r="B52" s="240"/>
      <c r="C52" s="51"/>
      <c r="D52" s="52"/>
      <c r="E52" s="52"/>
      <c r="F52" s="52"/>
      <c r="G52" s="52"/>
      <c r="H52" s="53"/>
      <c r="I52" s="53"/>
      <c r="J52" s="53"/>
      <c r="K52" s="53"/>
      <c r="L52" s="53"/>
      <c r="M52" s="53"/>
      <c r="N52" s="53"/>
      <c r="O52" s="53"/>
      <c r="P52" s="53"/>
      <c r="Q52" s="53"/>
      <c r="R52" s="53"/>
      <c r="S52" s="53"/>
      <c r="T52" s="53"/>
      <c r="U52" s="53"/>
      <c r="V52" s="53"/>
      <c r="W52" s="52"/>
      <c r="X52" s="52"/>
      <c r="Y52" s="52"/>
      <c r="Z52" s="54"/>
    </row>
    <row r="53" spans="1:26" ht="24" customHeight="1" x14ac:dyDescent="0.35">
      <c r="A53" s="40"/>
      <c r="B53" s="228" t="s">
        <v>383</v>
      </c>
      <c r="D53" s="228" t="str">
        <f>$D$11</f>
        <v/>
      </c>
      <c r="Z53" s="41"/>
    </row>
    <row r="54" spans="1:26" ht="12" customHeight="1" x14ac:dyDescent="0.35">
      <c r="A54" s="40"/>
      <c r="B54" s="229"/>
      <c r="Z54" s="41"/>
    </row>
    <row r="55" spans="1:26" ht="46" thickBot="1" x14ac:dyDescent="0.4">
      <c r="A55" s="40"/>
      <c r="B55" s="184"/>
      <c r="C55" s="183"/>
      <c r="D55" s="187" t="s">
        <v>379</v>
      </c>
      <c r="E55" s="187" t="s">
        <v>378</v>
      </c>
      <c r="F55" s="187" t="s">
        <v>380</v>
      </c>
      <c r="Z55" s="41"/>
    </row>
    <row r="56" spans="1:26" ht="15.75" customHeight="1" x14ac:dyDescent="0.35">
      <c r="A56" s="40"/>
      <c r="B56" s="263" t="s">
        <v>114</v>
      </c>
      <c r="C56" s="264"/>
      <c r="D56" s="264"/>
      <c r="E56" s="264"/>
      <c r="F56" s="265"/>
      <c r="Z56" s="41"/>
    </row>
    <row r="57" spans="1:26" ht="18.75" customHeight="1" x14ac:dyDescent="0.35">
      <c r="A57" s="40"/>
      <c r="B57" s="185" t="s">
        <v>97</v>
      </c>
      <c r="C57" s="186" t="s">
        <v>105</v>
      </c>
      <c r="D57" s="327">
        <f>SUMIF($K$29:$K$36,$B57,$D$29:$D$36)</f>
        <v>0</v>
      </c>
      <c r="E57" s="327">
        <f>IF($D$6="ja",SUMIF($K$38:$K$41,$B57,$D$38:$D$41),"")</f>
        <v>0</v>
      </c>
      <c r="F57" s="327">
        <f>IF($D$6="ja",SUM(D57:E57),"")</f>
        <v>0</v>
      </c>
      <c r="G57" s="47" t="s">
        <v>244</v>
      </c>
      <c r="H57" s="47" t="str">
        <f>CONCATENATE(G57,": ",C57)</f>
        <v>Scope 1.1: Emissionen aus stationärer Verbrennung</v>
      </c>
      <c r="I57" s="47" t="s">
        <v>254</v>
      </c>
      <c r="J57" s="48"/>
      <c r="K57" s="48"/>
      <c r="L57" s="48"/>
      <c r="Z57" s="41"/>
    </row>
    <row r="58" spans="1:26" ht="18.75" customHeight="1" x14ac:dyDescent="0.35">
      <c r="A58" s="40"/>
      <c r="B58" s="185" t="s">
        <v>98</v>
      </c>
      <c r="C58" s="186" t="s">
        <v>106</v>
      </c>
      <c r="D58" s="327">
        <f>SUMIF($K$29:$K$36,$B58,$D$29:$D$36)</f>
        <v>0</v>
      </c>
      <c r="E58" s="327">
        <f>IF($D$6="ja",SUMIF($K$38:$K$41,$B58,$D$38:$D$41),"")</f>
        <v>0</v>
      </c>
      <c r="F58" s="327">
        <f>IF($D$6="ja",SUM(D58:E58),"")</f>
        <v>0</v>
      </c>
      <c r="G58" s="47" t="s">
        <v>246</v>
      </c>
      <c r="H58" s="47" t="str">
        <f t="shared" ref="H58:H72" si="2">CONCATENATE(G58,": ",C58)</f>
        <v>Scope 1.2: Emissionen aus mobiler Verbrennung</v>
      </c>
      <c r="I58" s="47" t="s">
        <v>255</v>
      </c>
      <c r="J58" s="48"/>
      <c r="K58" s="48"/>
      <c r="L58" s="48"/>
      <c r="Z58" s="41"/>
    </row>
    <row r="59" spans="1:26" ht="18.75" customHeight="1" x14ac:dyDescent="0.35">
      <c r="A59" s="40"/>
      <c r="B59" s="185" t="s">
        <v>100</v>
      </c>
      <c r="C59" s="186" t="s">
        <v>107</v>
      </c>
      <c r="D59" s="327">
        <f>SUMIF($K$29:$K$36,$B59,$D$29:$D$36)</f>
        <v>0</v>
      </c>
      <c r="E59" s="327">
        <f>IF($D$6="ja",SUMIF($K$38:$K$41,$B59,$D$38:$D$41),"")</f>
        <v>0</v>
      </c>
      <c r="F59" s="327">
        <f>IF($D$6="ja",SUM(D59:E59),"")</f>
        <v>0</v>
      </c>
      <c r="G59" s="47" t="s">
        <v>247</v>
      </c>
      <c r="H59" s="47" t="str">
        <f t="shared" si="2"/>
        <v>Scope 1.4: Emissionen aus Verflüchtigungen</v>
      </c>
      <c r="I59" s="47" t="s">
        <v>256</v>
      </c>
      <c r="J59" s="48"/>
      <c r="K59" s="48"/>
      <c r="L59" s="48"/>
      <c r="Z59" s="41"/>
    </row>
    <row r="60" spans="1:26" s="9" customFormat="1" ht="18.75" customHeight="1" x14ac:dyDescent="0.35">
      <c r="A60" s="43"/>
      <c r="B60" s="274" t="s">
        <v>226</v>
      </c>
      <c r="C60" s="275" t="s">
        <v>265</v>
      </c>
      <c r="D60" s="328">
        <f>SUM(D57:D59)</f>
        <v>0</v>
      </c>
      <c r="E60" s="328">
        <f>IF($D$6="ja",SUM(E57:E59),"")</f>
        <v>0</v>
      </c>
      <c r="F60" s="328">
        <f>IF($D$6="ja",SUM(D60:E60),"")</f>
        <v>0</v>
      </c>
      <c r="G60" s="55"/>
      <c r="H60" s="55"/>
      <c r="I60" s="55"/>
      <c r="J60" s="55"/>
      <c r="K60" s="55"/>
      <c r="L60" s="55"/>
      <c r="M60" s="45"/>
      <c r="N60" s="45"/>
      <c r="O60" s="45"/>
      <c r="Z60" s="46"/>
    </row>
    <row r="61" spans="1:26" ht="19.5" customHeight="1" x14ac:dyDescent="0.35">
      <c r="A61" s="40"/>
      <c r="B61" s="270" t="s">
        <v>115</v>
      </c>
      <c r="C61" s="271"/>
      <c r="D61" s="271"/>
      <c r="E61" s="271"/>
      <c r="F61" s="272"/>
      <c r="G61" s="47"/>
      <c r="H61" s="47"/>
      <c r="I61" s="47"/>
      <c r="J61" s="48"/>
      <c r="K61" s="48"/>
      <c r="L61" s="48"/>
      <c r="Z61" s="41"/>
    </row>
    <row r="62" spans="1:26" ht="30.75" customHeight="1" x14ac:dyDescent="0.35">
      <c r="A62" s="40"/>
      <c r="B62" s="185" t="s">
        <v>97</v>
      </c>
      <c r="C62" s="186" t="s">
        <v>108</v>
      </c>
      <c r="D62" s="327">
        <f>SUMIF($L$29:$L$36,$B62,$E$29:$E$36)</f>
        <v>0</v>
      </c>
      <c r="E62" s="327">
        <f>IF($D$6="ja",SUMIF($L$38:$L$41,$B62,$E$38:$E$41),"")</f>
        <v>0</v>
      </c>
      <c r="F62" s="327">
        <f>IF($D$6="ja",SUM(D62:E62),"")</f>
        <v>0</v>
      </c>
      <c r="G62" s="47" t="s">
        <v>248</v>
      </c>
      <c r="H62" s="47" t="str">
        <f t="shared" si="2"/>
        <v>Scope 2.1: Emissionen aus zugekauftem und verbrauchtem Strom</v>
      </c>
      <c r="I62" s="47" t="s">
        <v>262</v>
      </c>
      <c r="J62" s="48"/>
      <c r="K62" s="48"/>
      <c r="L62" s="48"/>
      <c r="Z62" s="41"/>
    </row>
    <row r="63" spans="1:26" ht="30.75" customHeight="1" x14ac:dyDescent="0.35">
      <c r="A63" s="40"/>
      <c r="B63" s="185" t="s">
        <v>98</v>
      </c>
      <c r="C63" s="186" t="s">
        <v>109</v>
      </c>
      <c r="D63" s="327">
        <f>SUMIF($L$29:$L$36,$B63,$E$29:$E$36)</f>
        <v>0</v>
      </c>
      <c r="E63" s="327">
        <f>IF($D$6="ja",SUMIF($L$38:$L$41,$B63,$E$38:$E$41),"")</f>
        <v>0</v>
      </c>
      <c r="F63" s="327">
        <f>IF($D$6="ja",SUM(D63:E63),"")</f>
        <v>0</v>
      </c>
      <c r="G63" s="47" t="s">
        <v>245</v>
      </c>
      <c r="H63" s="47" t="str">
        <f t="shared" si="2"/>
        <v>Scope 2.2: Emissionen aus weiterer zugekaufter Energie (Wärme, Kälte, Dampf, Wasser)</v>
      </c>
      <c r="I63" s="47" t="s">
        <v>263</v>
      </c>
      <c r="J63" s="48"/>
      <c r="K63" s="48"/>
      <c r="L63" s="48"/>
      <c r="Z63" s="41"/>
    </row>
    <row r="64" spans="1:26" s="9" customFormat="1" ht="18.75" customHeight="1" x14ac:dyDescent="0.35">
      <c r="A64" s="43"/>
      <c r="B64" s="274" t="s">
        <v>226</v>
      </c>
      <c r="C64" s="275" t="s">
        <v>266</v>
      </c>
      <c r="D64" s="328">
        <f>SUM(D62:D63)</f>
        <v>0</v>
      </c>
      <c r="E64" s="328">
        <f>IF($D$6="ja",SUM(E62:E63),"")</f>
        <v>0</v>
      </c>
      <c r="F64" s="328">
        <f>IF($D$6="ja",SUM(D64:E64),"")</f>
        <v>0</v>
      </c>
      <c r="G64" s="55"/>
      <c r="H64" s="55"/>
      <c r="I64" s="55"/>
      <c r="J64" s="55"/>
      <c r="K64" s="55"/>
      <c r="L64" s="55"/>
      <c r="M64" s="45"/>
      <c r="N64" s="45"/>
      <c r="O64" s="45"/>
      <c r="Z64" s="46"/>
    </row>
    <row r="65" spans="1:27" ht="19.5" customHeight="1" x14ac:dyDescent="0.35">
      <c r="A65" s="40"/>
      <c r="B65" s="270" t="s">
        <v>116</v>
      </c>
      <c r="C65" s="271"/>
      <c r="D65" s="271"/>
      <c r="E65" s="271"/>
      <c r="F65" s="272"/>
      <c r="G65" s="47"/>
      <c r="H65" s="47"/>
      <c r="I65" s="47"/>
      <c r="J65" s="48"/>
      <c r="K65" s="48"/>
      <c r="L65" s="48"/>
      <c r="Z65" s="41"/>
    </row>
    <row r="66" spans="1:27" ht="18.75" customHeight="1" x14ac:dyDescent="0.35">
      <c r="A66" s="40"/>
      <c r="B66" s="185" t="s">
        <v>97</v>
      </c>
      <c r="C66" s="186" t="s">
        <v>110</v>
      </c>
      <c r="D66" s="327">
        <f t="shared" ref="D66:D72" si="3">SUMIF($M$29:$M$36,$B66,$F$29:$F$36)</f>
        <v>0</v>
      </c>
      <c r="E66" s="327">
        <f>IF($D$6="ja",SUM(SUMIF($M$38:$M$40,$B66,$F$38:$F$40),$I$41),"")</f>
        <v>0</v>
      </c>
      <c r="F66" s="327">
        <f>IF($D$6="ja",SUM(D66:E66),"")</f>
        <v>0</v>
      </c>
      <c r="G66" s="47" t="s">
        <v>235</v>
      </c>
      <c r="H66" s="47" t="str">
        <f t="shared" si="2"/>
        <v>Scope 3.1: Eingekaufte Waren und Dienstleistungen</v>
      </c>
      <c r="I66" s="47" t="s">
        <v>257</v>
      </c>
      <c r="J66" s="48"/>
      <c r="K66" s="48"/>
      <c r="L66" s="48"/>
      <c r="Z66" s="41"/>
    </row>
    <row r="67" spans="1:27" ht="30.75" customHeight="1" x14ac:dyDescent="0.35">
      <c r="A67" s="40"/>
      <c r="B67" s="185" t="s">
        <v>99</v>
      </c>
      <c r="C67" s="186" t="s">
        <v>111</v>
      </c>
      <c r="D67" s="327">
        <f t="shared" si="3"/>
        <v>0</v>
      </c>
      <c r="E67" s="327">
        <f>IF($D$6="ja",SUMIF($M$38:$M$41,$B67,$F$38:$F$41),"")</f>
        <v>0</v>
      </c>
      <c r="F67" s="327">
        <f t="shared" ref="F67:F73" si="4">IF($D$6="ja",SUM(D67:E67),"")</f>
        <v>0</v>
      </c>
      <c r="G67" s="47" t="s">
        <v>249</v>
      </c>
      <c r="H67" s="47" t="str">
        <f t="shared" si="2"/>
        <v>Scope 3.3: Brennstoff und energiebezogene Emissionen (nicht in Scope 1 und 2 enthalten)</v>
      </c>
      <c r="I67" s="47" t="s">
        <v>264</v>
      </c>
      <c r="J67" s="48"/>
      <c r="K67" s="48"/>
      <c r="L67" s="48"/>
      <c r="Z67" s="41"/>
    </row>
    <row r="68" spans="1:27" ht="18.75" customHeight="1" x14ac:dyDescent="0.35">
      <c r="A68" s="40"/>
      <c r="B68" s="185" t="s">
        <v>100</v>
      </c>
      <c r="C68" s="186" t="s">
        <v>112</v>
      </c>
      <c r="D68" s="327">
        <f t="shared" si="3"/>
        <v>0</v>
      </c>
      <c r="E68" s="327">
        <f>IF($D$6="ja",SUMIF($M$38:$M$41,$B68,$F$38:$F$41),"")</f>
        <v>0</v>
      </c>
      <c r="F68" s="327">
        <f t="shared" si="4"/>
        <v>0</v>
      </c>
      <c r="G68" s="47" t="s">
        <v>250</v>
      </c>
      <c r="H68" s="47" t="str">
        <f t="shared" si="2"/>
        <v>Scope 3.4: Transport und Verteilung (vorgelagert)</v>
      </c>
      <c r="I68" s="47" t="s">
        <v>258</v>
      </c>
      <c r="J68" s="48"/>
      <c r="K68" s="48"/>
      <c r="L68" s="48"/>
      <c r="Z68" s="41"/>
    </row>
    <row r="69" spans="1:27" ht="18.75" customHeight="1" x14ac:dyDescent="0.35">
      <c r="A69" s="40"/>
      <c r="B69" s="185" t="s">
        <v>101</v>
      </c>
      <c r="C69" s="186" t="s">
        <v>96</v>
      </c>
      <c r="D69" s="327">
        <f t="shared" si="3"/>
        <v>0</v>
      </c>
      <c r="E69" s="327">
        <f>IF($D$6="ja",SUM(SUMIF($N$38:$N$40,$B69,$F$38:$F$40),$J$41),"")</f>
        <v>0</v>
      </c>
      <c r="F69" s="327">
        <f t="shared" si="4"/>
        <v>0</v>
      </c>
      <c r="G69" s="47" t="s">
        <v>236</v>
      </c>
      <c r="H69" s="47" t="str">
        <f t="shared" si="2"/>
        <v>Scope 3.5: Abfall</v>
      </c>
      <c r="I69" s="47" t="s">
        <v>259</v>
      </c>
      <c r="J69" s="48"/>
      <c r="K69" s="48"/>
      <c r="L69" s="48"/>
      <c r="Z69" s="41"/>
    </row>
    <row r="70" spans="1:27" ht="18.75" customHeight="1" x14ac:dyDescent="0.35">
      <c r="A70" s="40"/>
      <c r="B70" s="185" t="s">
        <v>102</v>
      </c>
      <c r="C70" s="186" t="s">
        <v>21</v>
      </c>
      <c r="D70" s="327">
        <f t="shared" si="3"/>
        <v>0</v>
      </c>
      <c r="E70" s="327">
        <f>IF($D$6="ja",SUMIF($M$38:$M$41,$B70,$F$38:$F$41),"")</f>
        <v>0</v>
      </c>
      <c r="F70" s="327">
        <f t="shared" si="4"/>
        <v>0</v>
      </c>
      <c r="G70" s="47" t="s">
        <v>251</v>
      </c>
      <c r="H70" s="47" t="str">
        <f t="shared" si="2"/>
        <v>Scope 3.6: Geschäftsreisen</v>
      </c>
      <c r="I70" s="47" t="s">
        <v>260</v>
      </c>
      <c r="J70" s="48"/>
      <c r="K70" s="48"/>
      <c r="L70" s="48"/>
      <c r="Z70" s="41"/>
    </row>
    <row r="71" spans="1:27" ht="18.75" customHeight="1" x14ac:dyDescent="0.35">
      <c r="A71" s="40"/>
      <c r="B71" s="185" t="s">
        <v>103</v>
      </c>
      <c r="C71" s="186" t="s">
        <v>74</v>
      </c>
      <c r="D71" s="327">
        <f t="shared" si="3"/>
        <v>0</v>
      </c>
      <c r="E71" s="327">
        <f>IF($D$6="ja",SUMIF($M$38:$M$41,$B71,$F$38:$F$41),"")</f>
        <v>0</v>
      </c>
      <c r="F71" s="327">
        <f t="shared" si="4"/>
        <v>0</v>
      </c>
      <c r="G71" s="47" t="s">
        <v>252</v>
      </c>
      <c r="H71" s="47" t="str">
        <f t="shared" si="2"/>
        <v>Scope 3.7: Pendeln der Mitarbeitenden</v>
      </c>
      <c r="I71" s="47" t="s">
        <v>424</v>
      </c>
      <c r="J71" s="48"/>
      <c r="K71" s="48"/>
      <c r="L71" s="48"/>
      <c r="Z71" s="41"/>
    </row>
    <row r="72" spans="1:27" ht="18.75" customHeight="1" x14ac:dyDescent="0.35">
      <c r="A72" s="40"/>
      <c r="B72" s="185" t="s">
        <v>104</v>
      </c>
      <c r="C72" s="186" t="s">
        <v>113</v>
      </c>
      <c r="D72" s="327">
        <f t="shared" si="3"/>
        <v>0</v>
      </c>
      <c r="E72" s="327">
        <f>IF($D$6="ja",SUMIF($M$38:$M$41,$B72,$F$38:$F$41),"")</f>
        <v>0</v>
      </c>
      <c r="F72" s="327">
        <f t="shared" si="4"/>
        <v>0</v>
      </c>
      <c r="G72" s="47" t="s">
        <v>253</v>
      </c>
      <c r="H72" s="47" t="str">
        <f t="shared" si="2"/>
        <v>Scope 3.9: Transport und Verteilung (nachgelagert)</v>
      </c>
      <c r="I72" s="47" t="s">
        <v>261</v>
      </c>
      <c r="J72" s="48"/>
      <c r="K72" s="48"/>
      <c r="L72" s="48"/>
      <c r="Z72" s="41"/>
    </row>
    <row r="73" spans="1:27" s="9" customFormat="1" ht="18.75" customHeight="1" x14ac:dyDescent="0.35">
      <c r="A73" s="43"/>
      <c r="B73" s="274" t="s">
        <v>226</v>
      </c>
      <c r="C73" s="275" t="s">
        <v>267</v>
      </c>
      <c r="D73" s="328">
        <f>SUM(D66:D72)</f>
        <v>0</v>
      </c>
      <c r="E73" s="328">
        <f>IF($D$6="ja",SUM(E66:E72),"")</f>
        <v>0</v>
      </c>
      <c r="F73" s="328">
        <f t="shared" si="4"/>
        <v>0</v>
      </c>
      <c r="H73" s="45"/>
      <c r="I73" s="45"/>
      <c r="J73" s="45"/>
      <c r="K73" s="45"/>
      <c r="L73" s="45"/>
      <c r="M73" s="45"/>
      <c r="N73" s="45"/>
      <c r="O73" s="45"/>
      <c r="Z73" s="46"/>
    </row>
    <row r="74" spans="1:27" ht="6" customHeight="1" x14ac:dyDescent="0.35">
      <c r="A74" s="40"/>
      <c r="B74" s="266"/>
      <c r="C74" s="267"/>
      <c r="D74" s="268"/>
      <c r="E74" s="268"/>
      <c r="F74" s="268"/>
      <c r="Z74" s="41"/>
    </row>
    <row r="75" spans="1:27" ht="18.75" customHeight="1" x14ac:dyDescent="0.35">
      <c r="A75" s="40"/>
      <c r="B75" s="175" t="s">
        <v>117</v>
      </c>
      <c r="C75" s="276"/>
      <c r="D75" s="321">
        <f>SUM(D60,D64,D73)</f>
        <v>0</v>
      </c>
      <c r="E75" s="321">
        <f>IF($D$6="ja",SUM(E60,E64,E73),"")</f>
        <v>0</v>
      </c>
      <c r="F75" s="321">
        <f>IF($D$6="ja",SUM(D75:E75),"")</f>
        <v>0</v>
      </c>
      <c r="Z75" s="41"/>
    </row>
    <row r="76" spans="1:27" x14ac:dyDescent="0.35">
      <c r="A76" s="40"/>
      <c r="Z76" s="41"/>
    </row>
    <row r="77" spans="1:27" x14ac:dyDescent="0.35">
      <c r="AA77" s="40"/>
    </row>
    <row r="78" spans="1:27" x14ac:dyDescent="0.35">
      <c r="A78" s="40"/>
      <c r="Z78" s="41"/>
    </row>
    <row r="79" spans="1:27" ht="24" customHeight="1" x14ac:dyDescent="0.35">
      <c r="A79" s="40"/>
      <c r="B79" s="277" t="s">
        <v>288</v>
      </c>
      <c r="Z79" s="41"/>
    </row>
    <row r="80" spans="1:27" ht="15" customHeight="1" x14ac:dyDescent="0.35">
      <c r="A80" s="40"/>
      <c r="B80" s="461" t="s">
        <v>290</v>
      </c>
      <c r="C80" s="462"/>
      <c r="D80" s="447">
        <f>Strom[[#Totals],[Vermiedene Emissionen '[kg CO2e']]]/1000</f>
        <v>0</v>
      </c>
      <c r="E80" s="448" t="s">
        <v>291</v>
      </c>
      <c r="Z80" s="41"/>
    </row>
    <row r="81" spans="1:26" ht="15.75" customHeight="1" x14ac:dyDescent="0.35">
      <c r="A81" s="40"/>
      <c r="B81" s="463"/>
      <c r="C81" s="464"/>
      <c r="D81" s="447"/>
      <c r="E81" s="448"/>
      <c r="Z81" s="41"/>
    </row>
    <row r="82" spans="1:26" x14ac:dyDescent="0.35">
      <c r="A82" s="40"/>
      <c r="Z82" s="41"/>
    </row>
    <row r="83" spans="1:26" x14ac:dyDescent="0.35">
      <c r="A83" s="40"/>
      <c r="Z83" s="41"/>
    </row>
    <row r="84" spans="1:26" x14ac:dyDescent="0.35">
      <c r="A84" s="40"/>
      <c r="Z84" s="41"/>
    </row>
    <row r="85" spans="1:26" x14ac:dyDescent="0.35">
      <c r="A85" s="40"/>
      <c r="Z85" s="41"/>
    </row>
    <row r="86" spans="1:26" ht="6" customHeight="1" x14ac:dyDescent="0.35">
      <c r="A86" s="40"/>
      <c r="Z86" s="41"/>
    </row>
    <row r="87" spans="1:26" ht="6" customHeight="1" x14ac:dyDescent="0.35">
      <c r="A87" s="40"/>
      <c r="Z87" s="41"/>
    </row>
    <row r="88" spans="1:26" ht="6" customHeight="1" x14ac:dyDescent="0.35">
      <c r="A88" s="40"/>
      <c r="Z88" s="41"/>
    </row>
    <row r="89" spans="1:26" ht="6" customHeight="1" x14ac:dyDescent="0.35">
      <c r="A89" s="40"/>
      <c r="Z89" s="41"/>
    </row>
    <row r="90" spans="1:26" ht="6" customHeight="1" x14ac:dyDescent="0.35">
      <c r="A90" s="40"/>
      <c r="Z90" s="41"/>
    </row>
    <row r="91" spans="1:26" ht="15.75" customHeight="1" thickBot="1" x14ac:dyDescent="0.4">
      <c r="A91" s="34"/>
      <c r="B91" s="35"/>
      <c r="C91" s="36"/>
      <c r="D91" s="34"/>
      <c r="E91" s="34"/>
      <c r="F91" s="34"/>
      <c r="G91" s="34"/>
      <c r="H91" s="37"/>
      <c r="I91" s="37"/>
      <c r="J91" s="37"/>
      <c r="K91" s="37"/>
      <c r="L91" s="37"/>
      <c r="M91" s="37"/>
      <c r="N91" s="37"/>
      <c r="O91" s="37"/>
      <c r="P91" s="37"/>
      <c r="Q91" s="37"/>
      <c r="R91" s="37"/>
      <c r="S91" s="37"/>
      <c r="T91" s="37"/>
      <c r="U91" s="37"/>
      <c r="V91" s="37"/>
      <c r="W91" s="37"/>
      <c r="X91" s="37"/>
      <c r="Y91" s="37"/>
      <c r="Z91" s="37"/>
    </row>
    <row r="92" spans="1:26" ht="15.75" customHeight="1" x14ac:dyDescent="0.35">
      <c r="A92" s="248"/>
      <c r="B92" s="249"/>
      <c r="C92" s="250"/>
      <c r="D92" s="251"/>
      <c r="E92" s="251"/>
      <c r="F92" s="251"/>
      <c r="G92" s="251"/>
      <c r="H92" s="458" t="s">
        <v>395</v>
      </c>
      <c r="I92" s="458"/>
      <c r="J92" s="458"/>
      <c r="K92" s="458"/>
      <c r="L92" s="458"/>
      <c r="M92" s="458"/>
      <c r="N92" s="458"/>
      <c r="O92" s="252"/>
      <c r="P92" s="251"/>
      <c r="Q92" s="251"/>
      <c r="R92" s="251"/>
      <c r="S92" s="251"/>
      <c r="T92" s="252"/>
      <c r="U92" s="251"/>
      <c r="V92" s="251"/>
      <c r="W92" s="251"/>
      <c r="X92" s="251"/>
      <c r="Y92" s="251"/>
      <c r="Z92" s="253"/>
    </row>
    <row r="93" spans="1:26" ht="21" x14ac:dyDescent="0.5">
      <c r="A93" s="233"/>
      <c r="B93" s="260" t="s">
        <v>365</v>
      </c>
      <c r="C93" s="261"/>
      <c r="D93" s="453"/>
      <c r="E93" s="454"/>
      <c r="F93" s="454"/>
      <c r="G93" s="455"/>
      <c r="H93" s="459"/>
      <c r="I93" s="459"/>
      <c r="J93" s="459"/>
      <c r="K93" s="459"/>
      <c r="L93" s="459"/>
      <c r="M93" s="459"/>
      <c r="N93" s="459"/>
      <c r="O93" s="235"/>
      <c r="P93" s="118"/>
      <c r="Q93" s="118"/>
      <c r="R93" s="118"/>
      <c r="S93" s="118"/>
      <c r="T93" s="235"/>
      <c r="U93" s="118"/>
      <c r="V93" s="118"/>
      <c r="W93" s="118"/>
      <c r="X93" s="118"/>
      <c r="Y93" s="118"/>
      <c r="Z93" s="234"/>
    </row>
    <row r="94" spans="1:26" ht="15" thickBot="1" x14ac:dyDescent="0.4">
      <c r="A94" s="254"/>
      <c r="B94" s="255"/>
      <c r="C94" s="256"/>
      <c r="D94" s="257"/>
      <c r="E94" s="257"/>
      <c r="F94" s="257"/>
      <c r="G94" s="257"/>
      <c r="H94" s="460"/>
      <c r="I94" s="460"/>
      <c r="J94" s="460"/>
      <c r="K94" s="460"/>
      <c r="L94" s="460"/>
      <c r="M94" s="460"/>
      <c r="N94" s="460"/>
      <c r="O94" s="258"/>
      <c r="P94" s="257"/>
      <c r="Q94" s="257"/>
      <c r="R94" s="257"/>
      <c r="S94" s="257"/>
      <c r="T94" s="258"/>
      <c r="U94" s="257"/>
      <c r="V94" s="257"/>
      <c r="W94" s="257"/>
      <c r="X94" s="257"/>
      <c r="Y94" s="257"/>
      <c r="Z94" s="259"/>
    </row>
    <row r="95" spans="1:26" ht="24" customHeight="1" x14ac:dyDescent="0.35">
      <c r="A95" s="40"/>
      <c r="B95" s="228" t="s">
        <v>381</v>
      </c>
      <c r="C95" s="262"/>
      <c r="D95" s="284" t="str">
        <f>IF(ISBLANK($D$93),"",$D$93)</f>
        <v/>
      </c>
      <c r="T95" s="8"/>
      <c r="Z95" s="41"/>
    </row>
    <row r="96" spans="1:26" ht="12" customHeight="1" x14ac:dyDescent="0.35">
      <c r="A96" s="40"/>
      <c r="B96" s="229"/>
      <c r="T96" s="8"/>
      <c r="Z96" s="41"/>
    </row>
    <row r="97" spans="1:26" ht="46" thickBot="1" x14ac:dyDescent="0.4">
      <c r="A97" s="40"/>
      <c r="C97" s="174"/>
      <c r="D97" s="189" t="s">
        <v>323</v>
      </c>
      <c r="E97" s="189" t="s">
        <v>425</v>
      </c>
      <c r="F97" s="189" t="s">
        <v>324</v>
      </c>
      <c r="G97" s="189" t="s">
        <v>423</v>
      </c>
      <c r="I97"/>
      <c r="J97"/>
      <c r="K97"/>
      <c r="L97"/>
      <c r="M97"/>
      <c r="N97"/>
      <c r="O97"/>
      <c r="Z97" s="41"/>
    </row>
    <row r="98" spans="1:26" ht="25.5" customHeight="1" x14ac:dyDescent="0.35">
      <c r="A98" s="40"/>
      <c r="C98" s="230" t="s">
        <v>375</v>
      </c>
      <c r="D98" s="318">
        <f>$G$119</f>
        <v>0</v>
      </c>
      <c r="E98" s="318" t="str">
        <f>IF(OR(ISBLANK($D$93),ISBLANK(INDEX(Tab_Gliederungselemente[],MATCH($D$93,Tab_Gliederungselemente[Bezeichnung Gliederungselement],0),4))),"k.A.",($D$98*1000)/INDEX(Tab_Gliederungselemente[],MATCH($D$93,Tab_Gliederungselemente[Bezeichnung Gliederungselement],0),4))</f>
        <v>k.A.</v>
      </c>
      <c r="F98" s="318" t="str">
        <f>IFERROR(($D$98*1000)/INDEX(Tab_Gliederungselemente[],MATCH($D$93,Tab_Gliederungselemente[Bezeichnung Gliederungselement],0),3),"k.A.")</f>
        <v>k.A.</v>
      </c>
      <c r="G98" s="319"/>
      <c r="I98"/>
      <c r="J98"/>
      <c r="K98"/>
      <c r="L98"/>
      <c r="M98"/>
      <c r="N98"/>
      <c r="O98"/>
      <c r="Z98" s="41"/>
    </row>
    <row r="99" spans="1:26" ht="25.5" customHeight="1" x14ac:dyDescent="0.35">
      <c r="A99" s="40"/>
      <c r="C99" s="231" t="s">
        <v>373</v>
      </c>
      <c r="D99" s="320">
        <f>IF($D$6="ja",$G$124,"")</f>
        <v>0</v>
      </c>
      <c r="E99" s="320" t="str">
        <f>IF($D$6="ja",IF(OR(ISBLANK($D$93),ISBLANK(INDEX(Tab_Gliederungselemente[],MATCH($D$93,Tab_Gliederungselemente[Bezeichnung Gliederungselement],0),4))),"k.A.",($D$99*1000)/INDEX(Tab_Gliederungselemente[],MATCH($D$93,Tab_Gliederungselemente[Bezeichnung Gliederungselement],0),4)),"")</f>
        <v>k.A.</v>
      </c>
      <c r="F99" s="320" t="str">
        <f>IFERROR(IF($D$6="ja",($D$99*1000)/INDEX(Tab_Gliederungselemente[],MATCH($D$93,Tab_Gliederungselemente[Bezeichnung Gliederungselement],0),3),""),"k.A.")</f>
        <v>k.A.</v>
      </c>
      <c r="G99" s="320" t="str">
        <f>IFERROR(IF($D$6="ja",($D$99*1000)/(SUMIF(Anreise_Besuchende[Zuordnung Gliederungselement (Dropdown)],Ergebnisse!$D$93,Anreise_Besuchende[Besucheranzahl])),""),"k.A.")</f>
        <v>k.A.</v>
      </c>
      <c r="I99"/>
      <c r="J99"/>
      <c r="K99"/>
      <c r="L99"/>
      <c r="M99"/>
      <c r="N99"/>
      <c r="O99"/>
      <c r="Z99" s="41"/>
    </row>
    <row r="100" spans="1:26" ht="25.5" customHeight="1" x14ac:dyDescent="0.35">
      <c r="A100" s="40"/>
      <c r="C100" s="232" t="s">
        <v>374</v>
      </c>
      <c r="D100" s="321">
        <f>IF($D$6="ja",SUM(D98:D99),"")</f>
        <v>0</v>
      </c>
      <c r="E100" s="321" t="str">
        <f>IF($D$6="ja",IF(OR(ISBLANK($D$93),ISBLANK(INDEX(Tab_Gliederungselemente[],MATCH($D$93,Tab_Gliederungselemente[Bezeichnung Gliederungselement],0),4))),"k.A.",($D$100*1000)/INDEX(Tab_Gliederungselemente[],MATCH($D$93,Tab_Gliederungselemente[Bezeichnung Gliederungselement],0),4)),"")</f>
        <v>k.A.</v>
      </c>
      <c r="F100" s="321" t="str">
        <f>IFERROR(IF($D$6="ja",($D$100*1000)/INDEX(Tab_Gliederungselemente[],MATCH($D$93,Tab_Gliederungselemente[Bezeichnung Gliederungselement],0),3),""),"k.A.")</f>
        <v>k.A.</v>
      </c>
      <c r="G100" s="321" t="str">
        <f>IFERROR(IF($D$6="ja",($D$100*1000)/(SUMIF(Anreise_Besuchende[Zuordnung Gliederungselement (Dropdown)],Ergebnisse!$D$93,Anreise_Besuchende[Besucheranzahl])),""),"k.A.")</f>
        <v>k.A.</v>
      </c>
      <c r="I100"/>
      <c r="J100"/>
      <c r="K100"/>
      <c r="L100"/>
      <c r="M100"/>
      <c r="N100"/>
      <c r="O100"/>
      <c r="Z100" s="41"/>
    </row>
    <row r="101" spans="1:26" ht="27.75" customHeight="1" x14ac:dyDescent="0.35">
      <c r="A101" s="40"/>
      <c r="I101" s="48"/>
      <c r="J101" s="48"/>
      <c r="K101" s="48"/>
      <c r="L101" s="48"/>
      <c r="M101" s="48"/>
      <c r="N101" s="48"/>
      <c r="O101" s="48"/>
      <c r="P101" s="48"/>
      <c r="Q101" s="8"/>
      <c r="R101" s="8"/>
      <c r="S101" s="8"/>
      <c r="T101" s="8"/>
      <c r="U101" s="8"/>
      <c r="V101" s="8"/>
      <c r="Z101" s="41"/>
    </row>
    <row r="102" spans="1:26" ht="18.75" customHeight="1" thickBot="1" x14ac:dyDescent="0.4">
      <c r="A102" s="40"/>
      <c r="C102" s="191"/>
      <c r="D102" s="450" t="s">
        <v>366</v>
      </c>
      <c r="E102" s="450"/>
      <c r="F102" s="187" t="s">
        <v>226</v>
      </c>
      <c r="G102" s="187" t="s">
        <v>227</v>
      </c>
      <c r="I102" s="48"/>
      <c r="J102" s="48"/>
      <c r="K102" s="48"/>
      <c r="L102" s="48"/>
      <c r="M102" s="48"/>
      <c r="N102" s="48"/>
      <c r="O102" s="48"/>
      <c r="P102" s="48"/>
      <c r="Q102" s="8"/>
      <c r="R102" s="8"/>
      <c r="S102" s="8"/>
      <c r="T102" s="8"/>
      <c r="U102" s="8"/>
      <c r="V102" s="8"/>
      <c r="Z102" s="41"/>
    </row>
    <row r="103" spans="1:26" ht="18.75" customHeight="1" x14ac:dyDescent="0.35">
      <c r="A103" s="40"/>
      <c r="C103" s="445" t="s">
        <v>225</v>
      </c>
      <c r="D103" s="451" t="s">
        <v>217</v>
      </c>
      <c r="E103" s="451"/>
      <c r="F103" s="190">
        <f>IF($D$7="ja",IFERROR(SUMIF(Papierverbrauch_Büro[Zuordnung Gliederungselement (Dropdown)],$D$93,Papierverbrauch_Büro[Papierverbrauch 
(Anzahl Blatt Papier)]),""),"")</f>
        <v>0</v>
      </c>
      <c r="G103" s="190" t="str">
        <f>IF($D$7="ja","Blatt Papier","")</f>
        <v>Blatt Papier</v>
      </c>
      <c r="I103" s="48"/>
      <c r="J103" s="48"/>
      <c r="K103" s="48"/>
      <c r="L103" s="48"/>
      <c r="M103" s="48"/>
      <c r="N103" s="48"/>
      <c r="O103" s="48"/>
      <c r="P103" s="48"/>
      <c r="Q103" s="8"/>
      <c r="R103" s="8"/>
      <c r="S103" s="8"/>
      <c r="T103" s="8"/>
      <c r="U103" s="8"/>
      <c r="V103" s="8"/>
      <c r="Z103" s="41"/>
    </row>
    <row r="104" spans="1:26" ht="18.75" customHeight="1" x14ac:dyDescent="0.35">
      <c r="A104" s="40"/>
      <c r="C104" s="446"/>
      <c r="D104" s="452" t="s">
        <v>220</v>
      </c>
      <c r="E104" s="452"/>
      <c r="F104" s="176">
        <f>IF($D$7="ja",IFERROR(SUMIF(Druck_und_Werbematerialien[Zuordnung Gliederungselement (Dropdown)],$D$93,Druck_und_Werbematerialien[Druck- und Werbematerialien
(Kilogramm)]),""),"")</f>
        <v>0</v>
      </c>
      <c r="G104" s="176" t="str">
        <f>IF($D$7="ja","kg","")</f>
        <v>kg</v>
      </c>
      <c r="I104" s="48"/>
      <c r="J104" s="48"/>
      <c r="K104" s="48"/>
      <c r="L104" s="48"/>
      <c r="M104" s="48"/>
      <c r="N104" s="48"/>
      <c r="O104" s="48"/>
      <c r="P104" s="48"/>
      <c r="Q104" s="8"/>
      <c r="R104" s="8"/>
      <c r="S104" s="8"/>
      <c r="T104" s="8"/>
      <c r="U104" s="8"/>
      <c r="V104" s="8"/>
      <c r="Z104" s="41"/>
    </row>
    <row r="105" spans="1:26" ht="18.75" customHeight="1" x14ac:dyDescent="0.35">
      <c r="A105" s="40"/>
      <c r="C105" s="446"/>
      <c r="D105" s="452" t="s">
        <v>218</v>
      </c>
      <c r="E105" s="452"/>
      <c r="F105" s="176">
        <f>IF($D$7="ja",IFERROR(SUMIF(Verpackungsmaterialien[Zuordnung Gliederungselement (Dropdown)],$D$93,Verpackungsmaterialien[Vepackungsmaterialien 
(Kilogramm)]),""),"")</f>
        <v>0</v>
      </c>
      <c r="G105" s="176" t="str">
        <f>IF($D$7="ja","kg","")</f>
        <v>kg</v>
      </c>
      <c r="I105" s="48"/>
      <c r="J105" s="48"/>
      <c r="K105" s="48"/>
      <c r="L105" s="48"/>
      <c r="M105" s="48"/>
      <c r="N105" s="48"/>
      <c r="O105" s="48"/>
      <c r="P105" s="48"/>
      <c r="Q105" s="8"/>
      <c r="R105" s="8"/>
      <c r="S105" s="8"/>
      <c r="T105" s="8"/>
      <c r="U105" s="8"/>
      <c r="V105" s="8"/>
      <c r="Z105" s="41"/>
    </row>
    <row r="106" spans="1:26" ht="18.75" customHeight="1" x14ac:dyDescent="0.35">
      <c r="A106" s="40"/>
      <c r="C106" s="446"/>
      <c r="D106" s="452" t="s">
        <v>221</v>
      </c>
      <c r="E106" s="452"/>
      <c r="F106" s="176">
        <f>IF($D$7="ja",IFERROR(SUMIF(Wasserverbrauch[Zuordnung Gliederungselement (Dropdown)],$D$93,Wasserverbrauch[Wasserverbrauch (m3)]),""),"")</f>
        <v>0</v>
      </c>
      <c r="G106" s="177" t="str">
        <f>IF($D$7="ja","m3","")</f>
        <v>m3</v>
      </c>
      <c r="I106" s="48"/>
      <c r="J106" s="48"/>
      <c r="K106" s="48"/>
      <c r="L106" s="48"/>
      <c r="M106" s="48"/>
      <c r="N106" s="48"/>
      <c r="O106" s="48"/>
      <c r="P106" s="48"/>
      <c r="Q106" s="8"/>
      <c r="R106" s="8"/>
      <c r="S106" s="8"/>
      <c r="T106" s="8"/>
      <c r="U106" s="8"/>
      <c r="V106" s="8"/>
      <c r="Z106" s="41"/>
    </row>
    <row r="107" spans="1:26" ht="27.75" customHeight="1" thickBot="1" x14ac:dyDescent="0.4">
      <c r="A107" s="49"/>
      <c r="B107" s="50"/>
      <c r="C107" s="236"/>
      <c r="D107" s="237"/>
      <c r="E107" s="237"/>
      <c r="F107" s="238"/>
      <c r="G107" s="50"/>
      <c r="H107" s="53"/>
      <c r="I107" s="239"/>
      <c r="J107" s="239"/>
      <c r="K107" s="239"/>
      <c r="L107" s="239"/>
      <c r="M107" s="239"/>
      <c r="N107" s="239"/>
      <c r="O107" s="239"/>
      <c r="P107" s="239"/>
      <c r="Q107" s="53"/>
      <c r="R107" s="53"/>
      <c r="S107" s="53"/>
      <c r="T107" s="53"/>
      <c r="U107" s="53"/>
      <c r="V107" s="53"/>
      <c r="W107" s="52"/>
      <c r="X107" s="52"/>
      <c r="Y107" s="52"/>
      <c r="Z107" s="54"/>
    </row>
    <row r="108" spans="1:26" s="9" customFormat="1" ht="24" customHeight="1" x14ac:dyDescent="0.35">
      <c r="A108" s="43"/>
      <c r="B108" s="228" t="s">
        <v>382</v>
      </c>
      <c r="C108" s="44"/>
      <c r="D108" s="284" t="str">
        <f>IF(ISBLANK($D$93),"",$D$93)</f>
        <v/>
      </c>
      <c r="H108" s="45"/>
      <c r="I108" s="48"/>
      <c r="J108" s="48"/>
      <c r="K108" s="48"/>
      <c r="L108" s="48"/>
      <c r="M108" s="48"/>
      <c r="N108" s="48"/>
      <c r="O108" s="48"/>
      <c r="P108" s="48"/>
      <c r="Q108" s="8"/>
      <c r="R108" s="8"/>
      <c r="S108" s="8"/>
      <c r="T108" s="45"/>
      <c r="U108" s="45"/>
      <c r="V108" s="45"/>
      <c r="Z108" s="46"/>
    </row>
    <row r="109" spans="1:26" s="9" customFormat="1" ht="12" customHeight="1" x14ac:dyDescent="0.35">
      <c r="A109" s="43"/>
      <c r="B109" s="229"/>
      <c r="C109" s="44"/>
      <c r="H109" s="45"/>
      <c r="I109" s="48"/>
      <c r="J109" s="48"/>
      <c r="K109" s="48"/>
      <c r="L109" s="48"/>
      <c r="M109" s="48"/>
      <c r="N109" s="48"/>
      <c r="O109" s="48"/>
      <c r="P109" s="48"/>
      <c r="Q109" s="8"/>
      <c r="R109" s="8"/>
      <c r="S109" s="8"/>
      <c r="T109" s="45"/>
      <c r="U109" s="45"/>
      <c r="V109" s="45"/>
      <c r="Z109" s="46"/>
    </row>
    <row r="110" spans="1:26" ht="31.5" thickBot="1" x14ac:dyDescent="0.4">
      <c r="A110" s="40"/>
      <c r="B110" s="178"/>
      <c r="C110" s="187" t="s">
        <v>366</v>
      </c>
      <c r="D110" s="187" t="s">
        <v>325</v>
      </c>
      <c r="E110" s="187" t="s">
        <v>326</v>
      </c>
      <c r="F110" s="187" t="s">
        <v>327</v>
      </c>
      <c r="G110" s="187" t="s">
        <v>328</v>
      </c>
      <c r="I110" s="117" t="s">
        <v>235</v>
      </c>
      <c r="J110" s="117" t="s">
        <v>236</v>
      </c>
      <c r="K110" s="117" t="s">
        <v>136</v>
      </c>
      <c r="L110" s="117" t="s">
        <v>137</v>
      </c>
      <c r="M110" s="117" t="s">
        <v>138</v>
      </c>
      <c r="N110" s="117" t="s">
        <v>139</v>
      </c>
      <c r="P110" s="8"/>
      <c r="Q110" s="8"/>
      <c r="R110" s="8"/>
      <c r="S110" s="8"/>
      <c r="T110" s="8"/>
      <c r="U110" s="8"/>
      <c r="V110" s="8"/>
      <c r="Z110" s="41"/>
    </row>
    <row r="111" spans="1:26" s="9" customFormat="1" ht="18.75" customHeight="1" x14ac:dyDescent="0.35">
      <c r="A111" s="43"/>
      <c r="B111" s="444" t="s">
        <v>368</v>
      </c>
      <c r="C111" s="188" t="s">
        <v>14</v>
      </c>
      <c r="D111" s="322">
        <f>IFERROR(SUMIF(Wärme[Zuordnung Gliederungselement (Dropdown)],Ergebnisse!$D$93,Wärme[Scope 1 Ergebnis location-based '[kg CO2e']])/1000,"")</f>
        <v>0</v>
      </c>
      <c r="E111" s="322">
        <f>IFERROR(SUMIF(Wärme[Zuordnung Gliederungselement (Dropdown)],Ergebnisse!$D$93,Wärme[Scope 2 Ergebnis location-based '[kg CO2e']])/1000,"")</f>
        <v>0</v>
      </c>
      <c r="F111" s="322">
        <f>IFERROR(SUMIF(Wärme[Zuordnung Gliederungselement (Dropdown)],Ergebnisse!$D$93,Wärme[Scope 3 Ergebnis location-based '[kg CO2e']])/1000,"")</f>
        <v>0</v>
      </c>
      <c r="G111" s="322">
        <f t="shared" ref="G111:G118" si="5">SUM(D111:F111)</f>
        <v>0</v>
      </c>
      <c r="H111" s="45"/>
      <c r="I111" s="45"/>
      <c r="J111" s="45"/>
      <c r="K111" s="45" t="str">
        <f>VLOOKUP($C111,Sektor_Thema[],6,FALSE)</f>
        <v>Kat. 1</v>
      </c>
      <c r="L111" s="45" t="str">
        <f>VLOOKUP($C111,Sektor_Thema[],7,FALSE)</f>
        <v>Kat. 2</v>
      </c>
      <c r="M111" s="45" t="str">
        <f>VLOOKUP($C111,Sektor_Thema[],8,FALSE)</f>
        <v>Kat. 3</v>
      </c>
      <c r="N111" s="45" t="str">
        <f>VLOOKUP($C111,Sektor_Thema[],9,FALSE)</f>
        <v>-</v>
      </c>
      <c r="O111" s="45"/>
      <c r="P111" s="45"/>
      <c r="Q111" s="45"/>
      <c r="R111" s="45"/>
      <c r="S111" s="45"/>
      <c r="T111" s="45"/>
      <c r="U111" s="45"/>
      <c r="V111" s="45"/>
      <c r="Z111" s="46"/>
    </row>
    <row r="112" spans="1:26" s="9" customFormat="1" ht="18.75" customHeight="1" x14ac:dyDescent="0.35">
      <c r="A112" s="43"/>
      <c r="B112" s="444"/>
      <c r="C112" s="179" t="s">
        <v>18</v>
      </c>
      <c r="D112" s="323">
        <f>IFERROR(SUMIF(Strom[Zuordnung Gliederungselement (Dropdown)],Ergebnisse!$D$93,Strom[Scope 1 Ergebnis location-based '[kg CO2e']])/1000,"")</f>
        <v>0</v>
      </c>
      <c r="E112" s="323">
        <f>IFERROR(SUMIF(Strom[Zuordnung Gliederungselement (Dropdown)],Ergebnisse!$D$93,Strom[Scope 2 Ergebnis location-based '[kg CO2e']])/1000,"")</f>
        <v>0</v>
      </c>
      <c r="F112" s="323">
        <f>IFERROR(SUMIF(Strom[Zuordnung Gliederungselement (Dropdown)],Ergebnisse!$D$93,Strom[Scope 3 Ergebnis location-based '[kg CO2e']])/1000,"")</f>
        <v>0</v>
      </c>
      <c r="G112" s="323">
        <f t="shared" si="5"/>
        <v>0</v>
      </c>
      <c r="H112" s="45"/>
      <c r="I112" s="45"/>
      <c r="J112" s="45"/>
      <c r="K112" s="45" t="str">
        <f>VLOOKUP($C112,Sektor_Thema[],6,FALSE)</f>
        <v>Kat. 1</v>
      </c>
      <c r="L112" s="45" t="str">
        <f>VLOOKUP($C112,Sektor_Thema[],7,FALSE)</f>
        <v>Kat. 1</v>
      </c>
      <c r="M112" s="45" t="str">
        <f>VLOOKUP($C112,Sektor_Thema[],8,FALSE)</f>
        <v>Kat. 3</v>
      </c>
      <c r="N112" s="45" t="str">
        <f>VLOOKUP($C112,Sektor_Thema[],9,FALSE)</f>
        <v>-</v>
      </c>
      <c r="O112" s="45"/>
      <c r="P112" s="45"/>
      <c r="Q112" s="45"/>
      <c r="R112" s="45"/>
      <c r="S112" s="45"/>
      <c r="T112" s="45"/>
      <c r="U112" s="45"/>
      <c r="V112" s="45"/>
      <c r="Z112" s="46"/>
    </row>
    <row r="113" spans="1:26" s="9" customFormat="1" ht="18.75" customHeight="1" x14ac:dyDescent="0.35">
      <c r="A113" s="43"/>
      <c r="B113" s="444"/>
      <c r="C113" s="179" t="s">
        <v>16</v>
      </c>
      <c r="D113" s="323">
        <f>IFERROR(SUMIF(Kühl_und_Kältemittel[Zuordnung Gliederungselement (Dropdown)],Ergebnisse!$D$93,Kühl_und_Kältemittel[Scope 1 Ergebnis location-based '[kg CO2e']])/1000,"")</f>
        <v>0</v>
      </c>
      <c r="E113" s="323">
        <f>IFERROR(SUMIF(Kühl_und_Kältemittel[Zuordnung Gliederungselement (Dropdown)],Ergebnisse!$D$93,Kühl_und_Kältemittel[Scope 2 Ergebnis location-based '[kg CO2e']])/1000,"")</f>
        <v>0</v>
      </c>
      <c r="F113" s="323">
        <f>IFERROR(SUMIF(Kühl_und_Kältemittel[Zuordnung Gliederungselement (Dropdown)],Ergebnisse!$D$93,Kühl_und_Kältemittel[Scope 3 Ergebnis location-based '[kg CO2e']])/1000,"")</f>
        <v>0</v>
      </c>
      <c r="G113" s="323">
        <f t="shared" si="5"/>
        <v>0</v>
      </c>
      <c r="H113" s="45"/>
      <c r="I113" s="45"/>
      <c r="J113" s="45"/>
      <c r="K113" s="45" t="str">
        <f>VLOOKUP($C113,Sektor_Thema[],6,FALSE)</f>
        <v>Kat. 4</v>
      </c>
      <c r="L113" s="45" t="str">
        <f>VLOOKUP($C113,Sektor_Thema[],7,FALSE)</f>
        <v>-</v>
      </c>
      <c r="M113" s="45" t="str">
        <f>VLOOKUP($C113,Sektor_Thema[],8,FALSE)</f>
        <v>-</v>
      </c>
      <c r="N113" s="45" t="str">
        <f>VLOOKUP($C113,Sektor_Thema[],9,FALSE)</f>
        <v>-</v>
      </c>
      <c r="O113" s="45"/>
      <c r="P113" s="45"/>
      <c r="Q113" s="45"/>
      <c r="R113" s="45"/>
      <c r="S113" s="45"/>
      <c r="T113" s="45"/>
      <c r="U113" s="45"/>
      <c r="V113" s="45"/>
      <c r="Z113" s="46"/>
    </row>
    <row r="114" spans="1:26" s="9" customFormat="1" ht="18.75" customHeight="1" x14ac:dyDescent="0.35">
      <c r="A114" s="43"/>
      <c r="B114" s="444"/>
      <c r="C114" s="179" t="s">
        <v>15</v>
      </c>
      <c r="D114" s="323">
        <f>IFERROR(SUMIF(Fuhrpark[Zuordnung Gliederungselement (Dropdown)],Ergebnisse!$D$93,Fuhrpark[Scope 1 Ergebnis location-based '[kg CO2e']])/1000,"")</f>
        <v>0</v>
      </c>
      <c r="E114" s="323">
        <f>IFERROR(SUMIF(Fuhrpark[Zuordnung Gliederungselement (Dropdown)],Ergebnisse!$D$93,Fuhrpark[Scope 2 Ergebnis location-based '[kg CO2e']])/1000,"")</f>
        <v>0</v>
      </c>
      <c r="F114" s="323">
        <f>IFERROR(SUMIF(Fuhrpark[Zuordnung Gliederungselement (Dropdown)],Ergebnisse!$D$93,Fuhrpark[Scope 3 Ergebnis location-based '[kg CO2e']])/1000,"")</f>
        <v>0</v>
      </c>
      <c r="G114" s="323">
        <f t="shared" si="5"/>
        <v>0</v>
      </c>
      <c r="H114" s="45"/>
      <c r="I114" s="45"/>
      <c r="J114" s="45"/>
      <c r="K114" s="45" t="str">
        <f>VLOOKUP($C114,Sektor_Thema[],6,FALSE)</f>
        <v>Kat. 2</v>
      </c>
      <c r="L114" s="45" t="str">
        <f>VLOOKUP($C114,Sektor_Thema[],7,FALSE)</f>
        <v>Kat. 1</v>
      </c>
      <c r="M114" s="45" t="str">
        <f>VLOOKUP($C114,Sektor_Thema[],8,FALSE)</f>
        <v>Kat. 3</v>
      </c>
      <c r="N114" s="45" t="str">
        <f>VLOOKUP($C114,Sektor_Thema[],9,FALSE)</f>
        <v>-</v>
      </c>
      <c r="O114" s="45"/>
      <c r="P114" s="45"/>
      <c r="Q114" s="45"/>
      <c r="R114" s="45"/>
      <c r="S114" s="45"/>
      <c r="T114" s="45"/>
      <c r="U114" s="45"/>
      <c r="V114" s="45"/>
      <c r="Z114" s="46"/>
    </row>
    <row r="115" spans="1:26" s="9" customFormat="1" ht="18.75" customHeight="1" x14ac:dyDescent="0.35">
      <c r="A115" s="43"/>
      <c r="B115" s="444"/>
      <c r="C115" s="179" t="s">
        <v>21</v>
      </c>
      <c r="D115" s="323">
        <f>IFERROR(SUMIF(Geschäftsreisen[Zuordnung Gliederungselement (Dropdown)],Ergebnisse!$D$93,Geschäftsreisen[Scope 1 Ergebnis location-based '[kg CO2e']])/1000,"")</f>
        <v>0</v>
      </c>
      <c r="E115" s="323">
        <f>IFERROR(SUMIF(Geschäftsreisen[Zuordnung Gliederungselement (Dropdown)],Ergebnisse!$D$93,Geschäftsreisen[Scope 2 Ergebnis location-based '[kg CO2e']])/1000,"")</f>
        <v>0</v>
      </c>
      <c r="F115" s="323">
        <f>IFERROR(SUMIF(Geschäftsreisen[Zuordnung Gliederungselement (Dropdown)],Ergebnisse!$D$93,Geschäftsreisen[Scope 3 Ergebnis location-based '[kg CO2e']])/1000,"")</f>
        <v>0</v>
      </c>
      <c r="G115" s="323">
        <f t="shared" si="5"/>
        <v>0</v>
      </c>
      <c r="H115" s="45"/>
      <c r="I115" s="45"/>
      <c r="J115" s="45"/>
      <c r="K115" s="45" t="str">
        <f>VLOOKUP($C115,Sektor_Thema[],6,FALSE)</f>
        <v>-</v>
      </c>
      <c r="L115" s="45" t="str">
        <f>VLOOKUP($C115,Sektor_Thema[],7,FALSE)</f>
        <v>-</v>
      </c>
      <c r="M115" s="45" t="str">
        <f>VLOOKUP($C115,Sektor_Thema[],8,FALSE)</f>
        <v>Kat. 6</v>
      </c>
      <c r="N115" s="45" t="str">
        <f>VLOOKUP($C115,Sektor_Thema[],9,FALSE)</f>
        <v>-</v>
      </c>
      <c r="O115" s="45"/>
      <c r="P115" s="45"/>
      <c r="Q115" s="45"/>
      <c r="R115" s="45"/>
      <c r="S115" s="45"/>
      <c r="T115" s="45"/>
      <c r="U115" s="45"/>
      <c r="V115" s="45"/>
      <c r="Z115" s="46"/>
    </row>
    <row r="116" spans="1:26" s="9" customFormat="1" ht="18.75" customHeight="1" x14ac:dyDescent="0.35">
      <c r="A116" s="43"/>
      <c r="B116" s="444"/>
      <c r="C116" s="179" t="s">
        <v>74</v>
      </c>
      <c r="D116" s="323">
        <f>IFERROR(SUMIF(Pendeln_Mitarbeitende[Zuordnung Gliederungselement (Dropdown)],Ergebnisse!$D$93,Pendeln_Mitarbeitende[Scope 1 Ergebnis location-based '[kg CO2e']])/1000,"")</f>
        <v>0</v>
      </c>
      <c r="E116" s="323">
        <f>IFERROR(SUMIF(Pendeln_Mitarbeitende[Zuordnung Gliederungselement (Dropdown)],Ergebnisse!$D$93,Pendeln_Mitarbeitende[Scope 2 Ergebnis location-based '[kg CO2e']])/1000,"")</f>
        <v>0</v>
      </c>
      <c r="F116" s="323">
        <f>IFERROR(SUMIF(Pendeln_Mitarbeitende[Zuordnung Gliederungselement (Dropdown)],Ergebnisse!$D$93,Pendeln_Mitarbeitende[Scope 3 Ergebnis location-based '[kg CO2e']])/1000,"")</f>
        <v>0</v>
      </c>
      <c r="G116" s="323">
        <f t="shared" si="5"/>
        <v>0</v>
      </c>
      <c r="H116" s="45"/>
      <c r="I116" s="45"/>
      <c r="J116" s="45"/>
      <c r="K116" s="45" t="str">
        <f>VLOOKUP($C116,Sektor_Thema[],6,FALSE)</f>
        <v>-</v>
      </c>
      <c r="L116" s="45" t="str">
        <f>VLOOKUP($C116,Sektor_Thema[],7,FALSE)</f>
        <v>-</v>
      </c>
      <c r="M116" s="45" t="str">
        <f>VLOOKUP($C116,Sektor_Thema[],8,FALSE)</f>
        <v>Kat. 7</v>
      </c>
      <c r="N116" s="45" t="str">
        <f>VLOOKUP($C116,Sektor_Thema[],9,FALSE)</f>
        <v>-</v>
      </c>
      <c r="O116" s="45"/>
      <c r="P116" s="45"/>
      <c r="Q116" s="45"/>
      <c r="R116" s="45"/>
      <c r="S116" s="45"/>
      <c r="T116" s="45"/>
      <c r="U116" s="45"/>
      <c r="V116" s="45"/>
      <c r="Z116" s="46"/>
    </row>
    <row r="117" spans="1:26" s="9" customFormat="1" ht="18.75" customHeight="1" x14ac:dyDescent="0.35">
      <c r="A117" s="43"/>
      <c r="B117" s="444"/>
      <c r="C117" s="179" t="s">
        <v>144</v>
      </c>
      <c r="D117" s="323">
        <f>IFERROR(SUMIF(Externe[Zuordnung Gliederungselement (Dropdown)],Ergebnisse!$D$93,Externe[Scope 1 Ergebnis location-based '[kg CO2e']])/1000,"")</f>
        <v>0</v>
      </c>
      <c r="E117" s="323">
        <f>IFERROR(SUMIF(Externe[Zuordnung Gliederungselement (Dropdown)],Ergebnisse!$D$93,Externe[Scope 2 Ergebnis location-based '[kg CO2e']])/1000,"")</f>
        <v>0</v>
      </c>
      <c r="F117" s="323">
        <f>IFERROR(SUMIF(Externe[Zuordnung Gliederungselement (Dropdown)],Ergebnisse!$D$93,Externe[Scope 3 Ergebnis location-based '[kg CO2e']])/1000,"")</f>
        <v>0</v>
      </c>
      <c r="G117" s="323">
        <f t="shared" si="5"/>
        <v>0</v>
      </c>
      <c r="H117" s="45"/>
      <c r="I117" s="45"/>
      <c r="J117" s="45"/>
      <c r="K117" s="45" t="str">
        <f>VLOOKUP($C117,Sektor_Thema[],6,FALSE)</f>
        <v>-</v>
      </c>
      <c r="L117" s="45" t="str">
        <f>VLOOKUP($C117,Sektor_Thema[],7,FALSE)</f>
        <v>-</v>
      </c>
      <c r="M117" s="45" t="str">
        <f>VLOOKUP($C117,Sektor_Thema[],8,FALSE)</f>
        <v>Kat. 1</v>
      </c>
      <c r="N117" s="45" t="str">
        <f>VLOOKUP($C117,Sektor_Thema[],9,FALSE)</f>
        <v>-</v>
      </c>
      <c r="O117" s="45"/>
      <c r="P117" s="45"/>
      <c r="Q117" s="45"/>
      <c r="R117" s="45"/>
      <c r="S117" s="45"/>
      <c r="T117" s="45"/>
      <c r="U117" s="45"/>
      <c r="V117" s="45"/>
      <c r="Z117" s="46"/>
    </row>
    <row r="118" spans="1:26" s="9" customFormat="1" ht="18.75" customHeight="1" x14ac:dyDescent="0.35">
      <c r="A118" s="43"/>
      <c r="B118" s="444"/>
      <c r="C118" s="179" t="s">
        <v>77</v>
      </c>
      <c r="D118" s="323">
        <f>IFERROR(SUMIF(Warentransporte[Zuordnung Gliederungselement (Dropdown)],Ergebnisse!$D$93,Warentransporte[Scope 1 Ergebnis location-based '[kg CO2e']])/1000,"")</f>
        <v>0</v>
      </c>
      <c r="E118" s="323">
        <f>IFERROR(SUMIF(Warentransporte[Zuordnung Gliederungselement (Dropdown)],Ergebnisse!$D$93,Warentransporte[Scope 2 Ergebnis location-based '[kg CO2e']])/1000,"")</f>
        <v>0</v>
      </c>
      <c r="F118" s="323">
        <f>IFERROR(SUMIF(Warentransporte[Zuordnung Gliederungselement (Dropdown)],Ergebnisse!$D$93,Warentransporte[Scope 3 Ergebnis location-based '[kg CO2e']])/1000,"")</f>
        <v>0</v>
      </c>
      <c r="G118" s="323">
        <f t="shared" si="5"/>
        <v>0</v>
      </c>
      <c r="H118" s="45"/>
      <c r="I118" s="45"/>
      <c r="J118" s="45"/>
      <c r="K118" s="45" t="str">
        <f>VLOOKUP($C118,Sektor_Thema[],6,FALSE)</f>
        <v>-</v>
      </c>
      <c r="L118" s="45" t="str">
        <f>VLOOKUP($C118,Sektor_Thema[],7,FALSE)</f>
        <v>-</v>
      </c>
      <c r="M118" s="45" t="str">
        <f>VLOOKUP($C118,Sektor_Thema[],8,FALSE)</f>
        <v>Kat. 4</v>
      </c>
      <c r="N118" s="45" t="str">
        <f>VLOOKUP($C118,Sektor_Thema[],9,FALSE)</f>
        <v>-</v>
      </c>
      <c r="O118" s="45"/>
      <c r="P118" s="45"/>
      <c r="Q118" s="45"/>
      <c r="R118" s="45"/>
      <c r="S118" s="45"/>
      <c r="T118" s="45"/>
      <c r="U118" s="45"/>
      <c r="V118" s="45"/>
      <c r="Z118" s="46"/>
    </row>
    <row r="119" spans="1:26" s="9" customFormat="1" ht="18.75" customHeight="1" x14ac:dyDescent="0.35">
      <c r="A119" s="43"/>
      <c r="B119" s="444"/>
      <c r="C119" s="180" t="s">
        <v>376</v>
      </c>
      <c r="D119" s="324">
        <f>SUM(D111:D118)</f>
        <v>0</v>
      </c>
      <c r="E119" s="324">
        <f>SUM(E111:E118)</f>
        <v>0</v>
      </c>
      <c r="F119" s="324">
        <f>SUM(F111:F118)</f>
        <v>0</v>
      </c>
      <c r="G119" s="324">
        <f>SUM(D119:F119)</f>
        <v>0</v>
      </c>
      <c r="H119" s="45"/>
      <c r="P119" s="45"/>
      <c r="Q119" s="45"/>
      <c r="R119" s="45"/>
      <c r="S119" s="45"/>
      <c r="T119" s="45"/>
      <c r="U119" s="45"/>
      <c r="V119" s="45"/>
      <c r="Z119" s="46"/>
    </row>
    <row r="120" spans="1:26" s="9" customFormat="1" ht="18.75" customHeight="1" x14ac:dyDescent="0.35">
      <c r="A120" s="43"/>
      <c r="B120" s="435"/>
      <c r="C120" s="181" t="s">
        <v>75</v>
      </c>
      <c r="D120" s="325">
        <f>IF($D$6="ja",IFERROR(SUMIF(Anreise_Besuchende[Zuordnung Gliederungselement (Dropdown)],Ergebnisse!$D$93,Anreise_Besuchende[Scope 1 Ergebnis location-based '[kg CO2e']])/1000,""),"")</f>
        <v>0</v>
      </c>
      <c r="E120" s="325">
        <f>IF($D$6="ja",IFERROR(SUMIF(Anreise_Besuchende[Zuordnung Gliederungselement (Dropdown)],Ergebnisse!$D$93,Anreise_Besuchende[Scope 2 Ergebnis location-based '[kg CO2e']])/1000,""),"")</f>
        <v>0</v>
      </c>
      <c r="F120" s="325">
        <f>IF($D$6="ja",IFERROR(SUMIF(Anreise_Besuchende[Zuordnung Gliederungselement (Dropdown)],Ergebnisse!$D$93,Anreise_Besuchende[Scope 3 Ergebnis location-based '[kg CO2e']])/1000,""),"")</f>
        <v>0</v>
      </c>
      <c r="G120" s="325">
        <f t="shared" ref="G120:G125" si="6">IF($D$6="ja",SUM(D120:F120),"")</f>
        <v>0</v>
      </c>
      <c r="H120" s="45"/>
      <c r="I120" s="45"/>
      <c r="J120" s="45"/>
      <c r="K120" s="45" t="str">
        <f>VLOOKUP($C120,Sektor_Thema[],6,FALSE)</f>
        <v>-</v>
      </c>
      <c r="L120" s="45" t="str">
        <f>VLOOKUP($C120,Sektor_Thema[],7,FALSE)</f>
        <v>-</v>
      </c>
      <c r="M120" s="45" t="str">
        <f>VLOOKUP($C120,Sektor_Thema[],8,FALSE)</f>
        <v>Kat. 9</v>
      </c>
      <c r="N120" s="45" t="str">
        <f>VLOOKUP($C120,Sektor_Thema[],9,FALSE)</f>
        <v>-</v>
      </c>
      <c r="O120" s="45"/>
      <c r="P120" s="45"/>
      <c r="Q120" s="45"/>
      <c r="R120" s="45"/>
      <c r="S120" s="45"/>
      <c r="T120" s="45"/>
      <c r="U120" s="45"/>
      <c r="V120" s="45"/>
      <c r="Z120" s="46"/>
    </row>
    <row r="121" spans="1:26" s="9" customFormat="1" ht="18.75" customHeight="1" x14ac:dyDescent="0.35">
      <c r="A121" s="43"/>
      <c r="B121" s="436" t="s">
        <v>369</v>
      </c>
      <c r="C121" s="181" t="s">
        <v>339</v>
      </c>
      <c r="D121" s="325">
        <f>IF($D$6="ja",IFERROR(SUMIF(Medien[Zuordnung Gliederungselement (Dropdown)],Ergebnisse!$D$93,Medien[Scope 1 Ergebnis location-based '[kg CO2e']])/1000,""),"")</f>
        <v>0</v>
      </c>
      <c r="E121" s="325">
        <f>IF($D$6="ja",IFERROR(SUMIF(Medien[Zuordnung Gliederungselement (Dropdown)],Ergebnisse!$D$93,Medien[Scope 2 Ergebnis location-based '[kg CO2e']])/1000,""),"")</f>
        <v>0</v>
      </c>
      <c r="F121" s="325">
        <f>IF($D$6="ja",IFERROR(SUMIF(Medien[Zuordnung Gliederungselement (Dropdown)],Ergebnisse!$D$93,Medien[Scope 3 Ergebnis location-based '[kg CO2e']])/1000,""),"")</f>
        <v>0</v>
      </c>
      <c r="G121" s="325">
        <f t="shared" si="6"/>
        <v>0</v>
      </c>
      <c r="H121" s="45"/>
      <c r="I121" s="45"/>
      <c r="J121" s="45"/>
      <c r="K121" s="45" t="str">
        <f>VLOOKUP($C121,Sektor_Thema[],6,FALSE)</f>
        <v>-</v>
      </c>
      <c r="L121" s="45" t="str">
        <f>VLOOKUP($C121,Sektor_Thema[],7,FALSE)</f>
        <v>-</v>
      </c>
      <c r="M121" s="45" t="str">
        <f>VLOOKUP($C121,Sektor_Thema[],8,FALSE)</f>
        <v>Kat. 1</v>
      </c>
      <c r="N121" s="45" t="str">
        <f>VLOOKUP($C121,Sektor_Thema[],9,FALSE)</f>
        <v>-</v>
      </c>
      <c r="O121" s="45"/>
      <c r="P121" s="45"/>
      <c r="Q121" s="45"/>
      <c r="R121" s="45"/>
      <c r="S121" s="45"/>
      <c r="T121" s="45"/>
      <c r="U121" s="45"/>
      <c r="V121" s="45"/>
      <c r="Z121" s="46"/>
    </row>
    <row r="122" spans="1:26" s="9" customFormat="1" ht="18.75" customHeight="1" x14ac:dyDescent="0.35">
      <c r="A122" s="43"/>
      <c r="B122" s="436"/>
      <c r="C122" s="181" t="s">
        <v>23</v>
      </c>
      <c r="D122" s="325">
        <f>IF($D$6="ja",IFERROR(SUMIF(IT_Dienstleistungen[Zuordnung Gliederungselement (Dropdown)],Ergebnisse!$D$93,IT_Dienstleistungen[Scope 1 Ergebnis location-based '[kg CO2e']])/1000,""),"")</f>
        <v>0</v>
      </c>
      <c r="E122" s="325">
        <f>IF($D$6="ja",IFERROR(SUMIF(IT_Dienstleistungen[Zuordnung Gliederungselement (Dropdown)],Ergebnisse!$D$93,IT_Dienstleistungen[Scope 2 Ergebnis location-based '[kg CO2e']])/1000,""),"")</f>
        <v>0</v>
      </c>
      <c r="F122" s="325">
        <f>IF($D$6="ja",IFERROR(SUMIF(IT_Dienstleistungen[Zuordnung Gliederungselement (Dropdown)],Ergebnisse!$D$93,IT_Dienstleistungen[Scope 3 Ergebnis location-based '[kg CO2e']])/1000,""),"")</f>
        <v>0</v>
      </c>
      <c r="G122" s="325">
        <f t="shared" si="6"/>
        <v>0</v>
      </c>
      <c r="H122" s="45"/>
      <c r="I122" s="45"/>
      <c r="J122" s="292"/>
      <c r="K122" s="45" t="str">
        <f>VLOOKUP($C122,Sektor_Thema[],6,FALSE)</f>
        <v>-</v>
      </c>
      <c r="L122" s="45" t="str">
        <f>VLOOKUP($C122,Sektor_Thema[],7,FALSE)</f>
        <v>-</v>
      </c>
      <c r="M122" s="45" t="str">
        <f>VLOOKUP($C122,Sektor_Thema[],8,FALSE)</f>
        <v>Kat. 1</v>
      </c>
      <c r="N122" s="45" t="str">
        <f>VLOOKUP($C122,Sektor_Thema[],9,FALSE)</f>
        <v>-</v>
      </c>
      <c r="O122" s="45"/>
      <c r="P122" s="45"/>
      <c r="Q122" s="45"/>
      <c r="R122" s="45"/>
      <c r="S122" s="45"/>
      <c r="T122" s="45"/>
      <c r="U122" s="45"/>
      <c r="V122" s="45"/>
      <c r="Z122" s="46"/>
    </row>
    <row r="123" spans="1:26" s="9" customFormat="1" ht="18.75" customHeight="1" x14ac:dyDescent="0.35">
      <c r="A123" s="43"/>
      <c r="B123" s="436"/>
      <c r="C123" s="181" t="s">
        <v>22</v>
      </c>
      <c r="D123" s="325">
        <f>IF($D$6="ja",IFERROR(SUMIF(Relevante_Stoffströme[Zuordnung Gliederungselement (Dropdown)],Ergebnisse!$D$93,Relevante_Stoffströme[Scope 1 Ergebnis location-based '[kg CO2e']])/1000,""),"")</f>
        <v>0</v>
      </c>
      <c r="E123" s="325">
        <f>IF($D$6="ja",IFERROR(SUMIF(Relevante_Stoffströme[Zuordnung Gliederungselement (Dropdown)],Ergebnisse!$D$93,Relevante_Stoffströme[Scope 2 Ergebnis location-based '[kg CO2e']])/1000,""),"")</f>
        <v>0</v>
      </c>
      <c r="F123" s="325">
        <f>IF($D$6="ja",IFERROR(SUMIF(Relevante_Stoffströme[Zuordnung Gliederungselement (Dropdown)],Ergebnisse!$D$93,Relevante_Stoffströme[Ergebnis '[kg CO2e'] (vorausgefüllt)])/1000,""),"")</f>
        <v>0</v>
      </c>
      <c r="G123" s="325">
        <f t="shared" si="6"/>
        <v>0</v>
      </c>
      <c r="H123" s="45"/>
      <c r="I123" s="45">
        <f>IFERROR(SUMIF(Relevante_Stoffströme[Zuordnung Gliederungselement (Dropdown)],Ergebnisse!$D$93,Relevante_Stoffströme[Scope 3.1 Ergebnis location-based '[kg CO2e']])/1000,"")</f>
        <v>0</v>
      </c>
      <c r="J123" s="45">
        <f>IFERROR(SUMIF(Relevante_Stoffströme[Zuordnung Gliederungselement (Dropdown)],Ergebnisse!$D$93,Relevante_Stoffströme[Scope 3.5 Ergebnis location-based '[kg CO2e']])/1000,"")</f>
        <v>0</v>
      </c>
      <c r="K123" s="45" t="str">
        <f>VLOOKUP($C123,Sektor_Thema[],6,FALSE)</f>
        <v>-</v>
      </c>
      <c r="L123" s="45" t="str">
        <f>VLOOKUP($C123,Sektor_Thema[],7,FALSE)</f>
        <v>-</v>
      </c>
      <c r="M123" s="45" t="str">
        <f>VLOOKUP($C123,Sektor_Thema[],8,FALSE)</f>
        <v>Kat. 1</v>
      </c>
      <c r="N123" s="45" t="str">
        <f>VLOOKUP($C123,Sektor_Thema[],9,FALSE)</f>
        <v>Kat. 5</v>
      </c>
      <c r="O123" s="45"/>
      <c r="P123" s="45"/>
      <c r="Q123" s="45"/>
      <c r="R123" s="45"/>
      <c r="S123" s="45"/>
      <c r="T123" s="45"/>
      <c r="U123" s="45"/>
      <c r="V123" s="45"/>
      <c r="Z123" s="46"/>
    </row>
    <row r="124" spans="1:26" s="9" customFormat="1" ht="18.75" customHeight="1" x14ac:dyDescent="0.35">
      <c r="A124" s="43"/>
      <c r="B124" s="437"/>
      <c r="C124" s="182" t="s">
        <v>377</v>
      </c>
      <c r="D124" s="326">
        <f>IF($D$6="ja",SUM(D120:D123),"")</f>
        <v>0</v>
      </c>
      <c r="E124" s="326">
        <f>IF($D$6="ja",SUM(E120:E123),"")</f>
        <v>0</v>
      </c>
      <c r="F124" s="326">
        <f>IF($D$6="ja",SUM(F120:F123),"")</f>
        <v>0</v>
      </c>
      <c r="G124" s="326">
        <f t="shared" si="6"/>
        <v>0</v>
      </c>
      <c r="H124" s="45"/>
      <c r="I124" s="45"/>
      <c r="J124" s="45"/>
      <c r="K124" s="45"/>
      <c r="L124" s="45"/>
      <c r="M124" s="45"/>
      <c r="N124" s="45"/>
      <c r="O124" s="45"/>
      <c r="P124" s="45"/>
      <c r="Q124" s="45"/>
      <c r="R124" s="45"/>
      <c r="S124" s="45"/>
      <c r="T124" s="45"/>
      <c r="U124" s="45"/>
      <c r="V124" s="45"/>
      <c r="Z124" s="46"/>
    </row>
    <row r="125" spans="1:26" ht="18.75" customHeight="1" x14ac:dyDescent="0.35">
      <c r="A125" s="40"/>
      <c r="B125" s="232" t="s">
        <v>374</v>
      </c>
      <c r="C125" s="175"/>
      <c r="D125" s="321">
        <f>IF($D$6="ja",D119+D124,"")</f>
        <v>0</v>
      </c>
      <c r="E125" s="321">
        <f>IF($D$6="ja",E119+E124,"")</f>
        <v>0</v>
      </c>
      <c r="F125" s="321">
        <f>IF($D$6="ja",F119+F124,"")</f>
        <v>0</v>
      </c>
      <c r="G125" s="321">
        <f t="shared" si="6"/>
        <v>0</v>
      </c>
      <c r="P125" s="8"/>
      <c r="Q125" s="8"/>
      <c r="R125" s="8"/>
      <c r="S125" s="8"/>
      <c r="T125" s="8"/>
      <c r="U125" s="8"/>
      <c r="V125" s="8"/>
      <c r="Z125" s="41"/>
    </row>
    <row r="126" spans="1:26" s="9" customFormat="1" ht="24" customHeight="1" x14ac:dyDescent="0.35">
      <c r="A126" s="43"/>
      <c r="B126" s="15"/>
      <c r="C126" s="10"/>
      <c r="D126"/>
      <c r="E126"/>
      <c r="F126"/>
      <c r="G126"/>
      <c r="H126" s="45"/>
      <c r="I126" s="45"/>
      <c r="J126" s="45"/>
      <c r="K126" s="45"/>
      <c r="L126" s="45"/>
      <c r="M126" s="45"/>
      <c r="N126" s="45"/>
      <c r="O126" s="45"/>
      <c r="P126" s="45"/>
      <c r="Q126" s="45"/>
      <c r="R126" s="45"/>
      <c r="S126" s="45"/>
      <c r="T126" s="45"/>
      <c r="U126" s="45"/>
      <c r="V126" s="45"/>
      <c r="Z126" s="46"/>
    </row>
    <row r="127" spans="1:26" ht="18.5" x14ac:dyDescent="0.35">
      <c r="A127" s="40"/>
      <c r="B127" s="42"/>
      <c r="C127" s="44"/>
      <c r="D127" s="9"/>
      <c r="E127" s="9"/>
      <c r="F127" s="9"/>
      <c r="G127" s="9"/>
      <c r="P127" s="8"/>
      <c r="Q127" s="8"/>
      <c r="R127" s="8"/>
      <c r="S127" s="8"/>
      <c r="T127" s="8"/>
      <c r="U127" s="8"/>
      <c r="V127" s="8"/>
      <c r="Z127" s="41"/>
    </row>
    <row r="128" spans="1:26" ht="18.75" customHeight="1" x14ac:dyDescent="0.35">
      <c r="A128" s="40"/>
      <c r="B128" s="89"/>
      <c r="C128" s="90"/>
      <c r="D128" s="91"/>
      <c r="E128" s="91"/>
      <c r="P128" s="8"/>
      <c r="Q128" s="8"/>
      <c r="R128" s="8"/>
      <c r="S128" s="8"/>
      <c r="T128" s="8"/>
      <c r="U128" s="8"/>
      <c r="V128" s="8"/>
      <c r="Z128" s="41"/>
    </row>
    <row r="129" spans="1:26" ht="18.75" customHeight="1" x14ac:dyDescent="0.35">
      <c r="A129" s="40"/>
      <c r="B129" s="269"/>
      <c r="C129" s="44"/>
      <c r="D129" s="9"/>
      <c r="E129" s="9"/>
      <c r="P129" s="8"/>
      <c r="Q129" s="8"/>
      <c r="R129" s="8"/>
      <c r="S129" s="8"/>
      <c r="T129" s="8"/>
      <c r="U129" s="8"/>
      <c r="V129" s="8"/>
      <c r="Z129" s="41"/>
    </row>
    <row r="130" spans="1:26" ht="12.75" customHeight="1" x14ac:dyDescent="0.35">
      <c r="A130" s="40"/>
      <c r="B130" s="269"/>
      <c r="C130" s="44"/>
      <c r="D130" s="9"/>
      <c r="E130" s="9"/>
      <c r="P130" s="8"/>
      <c r="Q130" s="8"/>
      <c r="R130" s="8"/>
      <c r="S130" s="8"/>
      <c r="T130" s="8"/>
      <c r="U130" s="8"/>
      <c r="V130" s="8"/>
      <c r="Z130" s="41"/>
    </row>
    <row r="131" spans="1:26" ht="6" customHeight="1" x14ac:dyDescent="0.35">
      <c r="A131" s="40"/>
      <c r="B131" s="269"/>
      <c r="C131" s="44"/>
      <c r="D131" s="9"/>
      <c r="E131" s="9"/>
      <c r="P131" s="8"/>
      <c r="Q131" s="8"/>
      <c r="R131" s="8"/>
      <c r="S131" s="8"/>
      <c r="T131" s="8"/>
      <c r="U131" s="8"/>
      <c r="V131" s="8"/>
      <c r="Z131" s="41"/>
    </row>
    <row r="132" spans="1:26" ht="6" customHeight="1" x14ac:dyDescent="0.35">
      <c r="A132" s="40"/>
      <c r="B132" s="269"/>
      <c r="C132" s="44"/>
      <c r="D132" s="9"/>
      <c r="E132" s="9"/>
      <c r="P132" s="8"/>
      <c r="Q132" s="8"/>
      <c r="R132" s="8"/>
      <c r="S132" s="8"/>
      <c r="T132" s="8"/>
      <c r="U132" s="8"/>
      <c r="V132" s="8"/>
      <c r="Z132" s="41"/>
    </row>
    <row r="133" spans="1:26" ht="6" customHeight="1" x14ac:dyDescent="0.35">
      <c r="A133" s="40"/>
      <c r="P133" s="8"/>
      <c r="Q133" s="8"/>
      <c r="R133" s="8"/>
      <c r="S133" s="8"/>
      <c r="T133" s="8"/>
      <c r="U133" s="8"/>
      <c r="V133" s="8"/>
      <c r="Z133" s="41"/>
    </row>
    <row r="134" spans="1:26" ht="6" customHeight="1" thickBot="1" x14ac:dyDescent="0.4">
      <c r="A134" s="49"/>
      <c r="B134" s="240"/>
      <c r="C134" s="51"/>
      <c r="D134" s="52"/>
      <c r="E134" s="52"/>
      <c r="F134" s="52"/>
      <c r="G134" s="52"/>
      <c r="H134" s="53"/>
      <c r="I134" s="53"/>
      <c r="J134" s="53"/>
      <c r="K134" s="53"/>
      <c r="L134" s="53"/>
      <c r="M134" s="53"/>
      <c r="N134" s="53"/>
      <c r="O134" s="53"/>
      <c r="P134" s="53"/>
      <c r="Q134" s="53"/>
      <c r="R134" s="53"/>
      <c r="S134" s="53"/>
      <c r="T134" s="53"/>
      <c r="U134" s="53"/>
      <c r="V134" s="53"/>
      <c r="W134" s="52"/>
      <c r="X134" s="52"/>
      <c r="Y134" s="52"/>
      <c r="Z134" s="54"/>
    </row>
    <row r="135" spans="1:26" ht="24" customHeight="1" x14ac:dyDescent="0.35">
      <c r="A135" s="278"/>
      <c r="B135" s="279" t="s">
        <v>383</v>
      </c>
      <c r="C135" s="280"/>
      <c r="D135" s="284" t="str">
        <f>IF(ISBLANK($D$93),"",$D$93)</f>
        <v/>
      </c>
      <c r="E135" s="281"/>
      <c r="F135" s="281"/>
      <c r="G135" s="281"/>
      <c r="H135" s="282"/>
      <c r="I135" s="282"/>
      <c r="J135" s="282"/>
      <c r="K135" s="282"/>
      <c r="L135" s="282"/>
      <c r="M135" s="282"/>
      <c r="N135" s="282"/>
      <c r="O135" s="282"/>
      <c r="P135" s="281"/>
      <c r="Q135" s="281"/>
      <c r="R135" s="281"/>
      <c r="S135" s="281"/>
      <c r="T135" s="281"/>
      <c r="U135" s="281"/>
      <c r="V135" s="281"/>
      <c r="W135" s="281"/>
      <c r="X135" s="281"/>
      <c r="Y135" s="281"/>
      <c r="Z135" s="283"/>
    </row>
    <row r="136" spans="1:26" ht="12" customHeight="1" x14ac:dyDescent="0.35">
      <c r="A136" s="40"/>
      <c r="B136" s="229"/>
      <c r="Z136" s="41"/>
    </row>
    <row r="137" spans="1:26" ht="46" thickBot="1" x14ac:dyDescent="0.4">
      <c r="A137" s="40"/>
      <c r="B137" s="184"/>
      <c r="C137" s="183"/>
      <c r="D137" s="187" t="s">
        <v>329</v>
      </c>
      <c r="E137" s="187" t="s">
        <v>330</v>
      </c>
      <c r="F137" s="187" t="s">
        <v>331</v>
      </c>
      <c r="Z137" s="41"/>
    </row>
    <row r="138" spans="1:26" ht="15.75" customHeight="1" x14ac:dyDescent="0.35">
      <c r="A138" s="40"/>
      <c r="B138" s="263" t="s">
        <v>114</v>
      </c>
      <c r="C138" s="264"/>
      <c r="D138" s="264"/>
      <c r="E138" s="264"/>
      <c r="F138" s="265"/>
      <c r="Z138" s="41"/>
    </row>
    <row r="139" spans="1:26" ht="18.75" customHeight="1" x14ac:dyDescent="0.35">
      <c r="A139" s="40"/>
      <c r="B139" s="185" t="s">
        <v>97</v>
      </c>
      <c r="C139" s="186" t="s">
        <v>105</v>
      </c>
      <c r="D139" s="327">
        <f>SUMIF($K$111:$K$118,$B139,$D$111:$D$118)</f>
        <v>0</v>
      </c>
      <c r="E139" s="327">
        <f>IF($D$6="ja",SUMIF($K$120:$K$123,$B139,$D$120:$D$123),"")</f>
        <v>0</v>
      </c>
      <c r="F139" s="327">
        <f>IF($D$6="ja",SUM(D139:E139),"")</f>
        <v>0</v>
      </c>
      <c r="G139" s="47"/>
      <c r="H139" s="47"/>
      <c r="I139" s="47"/>
      <c r="J139" s="48"/>
      <c r="K139" s="48"/>
      <c r="L139" s="48"/>
      <c r="Z139" s="41"/>
    </row>
    <row r="140" spans="1:26" ht="18.75" customHeight="1" x14ac:dyDescent="0.35">
      <c r="A140" s="40"/>
      <c r="B140" s="185" t="s">
        <v>98</v>
      </c>
      <c r="C140" s="186" t="s">
        <v>106</v>
      </c>
      <c r="D140" s="327">
        <f>SUMIF($K$111:$K$118,$B140,$D$111:$D$118)</f>
        <v>0</v>
      </c>
      <c r="E140" s="327">
        <f>IF($D$6="ja",SUMIF($K$120:$K$123,$B140,$D$120:$D$123),"")</f>
        <v>0</v>
      </c>
      <c r="F140" s="327">
        <f>IF($D$6="ja",SUM(D140:E140),"")</f>
        <v>0</v>
      </c>
      <c r="G140" s="47"/>
      <c r="H140" s="47"/>
      <c r="I140" s="47"/>
      <c r="J140" s="48"/>
      <c r="K140" s="48"/>
      <c r="L140" s="48"/>
      <c r="Z140" s="41"/>
    </row>
    <row r="141" spans="1:26" ht="18.75" customHeight="1" x14ac:dyDescent="0.35">
      <c r="A141" s="40"/>
      <c r="B141" s="185" t="s">
        <v>100</v>
      </c>
      <c r="C141" s="186" t="s">
        <v>107</v>
      </c>
      <c r="D141" s="327">
        <f>SUMIF($K$111:$K$118,$B141,$D$111:$D$118)</f>
        <v>0</v>
      </c>
      <c r="E141" s="327">
        <f>IF($D$6="ja",SUMIF($K$120:$K$123,$B141,$D$120:$D$123),"")</f>
        <v>0</v>
      </c>
      <c r="F141" s="327">
        <f>IF($D$6="ja",SUM(D141:E141),"")</f>
        <v>0</v>
      </c>
      <c r="G141" s="47"/>
      <c r="H141" s="47"/>
      <c r="I141" s="47"/>
      <c r="J141" s="48"/>
      <c r="K141" s="48"/>
      <c r="L141" s="48"/>
      <c r="Z141" s="41"/>
    </row>
    <row r="142" spans="1:26" s="9" customFormat="1" ht="18.75" customHeight="1" x14ac:dyDescent="0.35">
      <c r="A142" s="43"/>
      <c r="B142" s="274" t="s">
        <v>226</v>
      </c>
      <c r="C142" s="275" t="s">
        <v>265</v>
      </c>
      <c r="D142" s="328">
        <f>SUM(D139:D141)</f>
        <v>0</v>
      </c>
      <c r="E142" s="328">
        <f>IF($D$6="ja",SUM(E139:E141),"")</f>
        <v>0</v>
      </c>
      <c r="F142" s="328">
        <f>IF($D$6="ja",SUM(D142:E142),"")</f>
        <v>0</v>
      </c>
      <c r="G142" s="55"/>
      <c r="H142" s="55"/>
      <c r="I142" s="55"/>
      <c r="J142" s="55"/>
      <c r="K142" s="55"/>
      <c r="L142" s="55"/>
      <c r="M142" s="45"/>
      <c r="N142" s="45"/>
      <c r="O142" s="45"/>
      <c r="Z142" s="46"/>
    </row>
    <row r="143" spans="1:26" ht="19.5" customHeight="1" x14ac:dyDescent="0.35">
      <c r="A143" s="40"/>
      <c r="B143" s="270" t="s">
        <v>115</v>
      </c>
      <c r="C143" s="271"/>
      <c r="D143" s="271"/>
      <c r="E143" s="271"/>
      <c r="F143" s="272"/>
      <c r="G143" s="47"/>
      <c r="H143" s="47"/>
      <c r="I143" s="47"/>
      <c r="J143" s="48"/>
      <c r="K143" s="48"/>
      <c r="L143" s="48"/>
      <c r="Z143" s="41"/>
    </row>
    <row r="144" spans="1:26" ht="30.75" customHeight="1" x14ac:dyDescent="0.35">
      <c r="A144" s="40"/>
      <c r="B144" s="185" t="s">
        <v>97</v>
      </c>
      <c r="C144" s="186" t="s">
        <v>108</v>
      </c>
      <c r="D144" s="327">
        <f>SUMIF($L$111:$L$118,$B144,$E$111:$E$118)</f>
        <v>0</v>
      </c>
      <c r="E144" s="327">
        <f>IF($D$6="ja",SUMIF($L$120:$L$123,$B144,$E$120:$E$123),"")</f>
        <v>0</v>
      </c>
      <c r="F144" s="327">
        <f>IF($D$6="ja",SUM(D144:E144),"")</f>
        <v>0</v>
      </c>
      <c r="G144" s="47"/>
      <c r="H144" s="47"/>
      <c r="I144" s="47"/>
      <c r="J144" s="48"/>
      <c r="K144" s="48"/>
      <c r="L144" s="48"/>
      <c r="Z144" s="41"/>
    </row>
    <row r="145" spans="1:27" ht="30.75" customHeight="1" x14ac:dyDescent="0.35">
      <c r="A145" s="40"/>
      <c r="B145" s="185" t="s">
        <v>98</v>
      </c>
      <c r="C145" s="186" t="s">
        <v>109</v>
      </c>
      <c r="D145" s="327">
        <f>SUMIF($L$111:$L$118,$B145,$E$111:$E$118)</f>
        <v>0</v>
      </c>
      <c r="E145" s="327">
        <f>IF($D$6="ja",SUMIF($L$120:$L$123,$B145,$E$120:$E$123),"")</f>
        <v>0</v>
      </c>
      <c r="F145" s="327">
        <f>IF($D$6="ja",SUM(D145:E145),"")</f>
        <v>0</v>
      </c>
      <c r="G145" s="47"/>
      <c r="H145" s="47"/>
      <c r="I145" s="47"/>
      <c r="J145" s="48"/>
      <c r="K145" s="48"/>
      <c r="L145" s="48"/>
      <c r="Z145" s="41"/>
    </row>
    <row r="146" spans="1:27" s="9" customFormat="1" ht="18.75" customHeight="1" x14ac:dyDescent="0.35">
      <c r="A146" s="43"/>
      <c r="B146" s="274" t="s">
        <v>226</v>
      </c>
      <c r="C146" s="275" t="s">
        <v>266</v>
      </c>
      <c r="D146" s="328">
        <f>SUM(D144:D145)</f>
        <v>0</v>
      </c>
      <c r="E146" s="328">
        <f>IF($D$6="ja",SUM(E144:E145),"")</f>
        <v>0</v>
      </c>
      <c r="F146" s="328">
        <f>IF($D$6="ja",SUM(D146:E146),"")</f>
        <v>0</v>
      </c>
      <c r="G146" s="55"/>
      <c r="H146" s="55"/>
      <c r="I146" s="55"/>
      <c r="J146" s="55"/>
      <c r="K146" s="55"/>
      <c r="L146" s="55"/>
      <c r="M146" s="45"/>
      <c r="N146" s="45"/>
      <c r="O146" s="45"/>
      <c r="Z146" s="46"/>
    </row>
    <row r="147" spans="1:27" ht="19.5" customHeight="1" x14ac:dyDescent="0.35">
      <c r="A147" s="40"/>
      <c r="B147" s="270" t="s">
        <v>116</v>
      </c>
      <c r="C147" s="271"/>
      <c r="D147" s="271"/>
      <c r="E147" s="271"/>
      <c r="F147" s="272"/>
      <c r="G147" s="47"/>
      <c r="H147" s="47"/>
      <c r="I147" s="47"/>
      <c r="J147" s="48"/>
      <c r="K147" s="48"/>
      <c r="L147" s="48"/>
      <c r="Z147" s="41"/>
    </row>
    <row r="148" spans="1:27" ht="18.75" customHeight="1" x14ac:dyDescent="0.35">
      <c r="A148" s="40"/>
      <c r="B148" s="185" t="s">
        <v>97</v>
      </c>
      <c r="C148" s="186" t="s">
        <v>110</v>
      </c>
      <c r="D148" s="327">
        <f t="shared" ref="D148:D154" si="7">SUMIF($M$111:$M$118,$B148,$F$111:$F$118)</f>
        <v>0</v>
      </c>
      <c r="E148" s="327">
        <f>IF($D$6="ja",SUM(SUMIF($M$120:$M$122,$B148,$F$120:$F$122),$I$123),"")</f>
        <v>0</v>
      </c>
      <c r="F148" s="327">
        <f t="shared" ref="F148:F155" si="8">IF($D$6="ja",SUM(D148:E148),"")</f>
        <v>0</v>
      </c>
      <c r="G148" s="47"/>
      <c r="H148" s="47"/>
      <c r="I148" s="47"/>
      <c r="J148" s="48"/>
      <c r="K148" s="48"/>
      <c r="L148" s="48"/>
      <c r="Z148" s="41"/>
    </row>
    <row r="149" spans="1:27" ht="30.75" customHeight="1" x14ac:dyDescent="0.35">
      <c r="A149" s="40"/>
      <c r="B149" s="185" t="s">
        <v>99</v>
      </c>
      <c r="C149" s="186" t="s">
        <v>111</v>
      </c>
      <c r="D149" s="327">
        <f t="shared" si="7"/>
        <v>0</v>
      </c>
      <c r="E149" s="327">
        <f>IF($D$6="ja",SUMIF($M$120:$M$123,$B149,$F$120:$F$123),"")</f>
        <v>0</v>
      </c>
      <c r="F149" s="327">
        <f t="shared" si="8"/>
        <v>0</v>
      </c>
      <c r="G149" s="47"/>
      <c r="H149" s="47"/>
      <c r="I149" s="47"/>
      <c r="J149" s="48"/>
      <c r="K149" s="48"/>
      <c r="L149" s="48"/>
      <c r="Z149" s="41"/>
    </row>
    <row r="150" spans="1:27" ht="18.75" customHeight="1" x14ac:dyDescent="0.35">
      <c r="A150" s="40"/>
      <c r="B150" s="185" t="s">
        <v>100</v>
      </c>
      <c r="C150" s="186" t="s">
        <v>112</v>
      </c>
      <c r="D150" s="327">
        <f t="shared" si="7"/>
        <v>0</v>
      </c>
      <c r="E150" s="327">
        <f ca="1">IF($D$6="ja",SUMIF($M$120:$M$123,$B150,$F$121:$F$123),"")</f>
        <v>0</v>
      </c>
      <c r="F150" s="327">
        <f t="shared" ca="1" si="8"/>
        <v>0</v>
      </c>
      <c r="G150" s="47"/>
      <c r="H150" s="47"/>
      <c r="I150" s="47"/>
      <c r="J150" s="48"/>
      <c r="K150" s="48"/>
      <c r="L150" s="48"/>
      <c r="Z150" s="41"/>
    </row>
    <row r="151" spans="1:27" ht="18.75" customHeight="1" x14ac:dyDescent="0.35">
      <c r="A151" s="40"/>
      <c r="B151" s="185" t="s">
        <v>101</v>
      </c>
      <c r="C151" s="186" t="s">
        <v>96</v>
      </c>
      <c r="D151" s="327">
        <f t="shared" si="7"/>
        <v>0</v>
      </c>
      <c r="E151" s="327">
        <f>IF($D$6="ja",SUM(SUMIF($N$120:$N$122,$B151,$F$120:$F$122),$J$123),"")</f>
        <v>0</v>
      </c>
      <c r="F151" s="327">
        <f t="shared" si="8"/>
        <v>0</v>
      </c>
      <c r="G151" s="47"/>
      <c r="H151" s="47"/>
      <c r="I151" s="47"/>
      <c r="J151" s="48"/>
      <c r="K151" s="48"/>
      <c r="L151" s="48"/>
      <c r="Z151" s="41"/>
    </row>
    <row r="152" spans="1:27" ht="18.75" customHeight="1" x14ac:dyDescent="0.35">
      <c r="A152" s="40"/>
      <c r="B152" s="185" t="s">
        <v>102</v>
      </c>
      <c r="C152" s="186" t="s">
        <v>21</v>
      </c>
      <c r="D152" s="327">
        <f t="shared" si="7"/>
        <v>0</v>
      </c>
      <c r="E152" s="327">
        <f>IF($D$6="ja",SUMIF($M$120:$M$123,$B152,$F$120:$F$123),"")</f>
        <v>0</v>
      </c>
      <c r="F152" s="327">
        <f t="shared" si="8"/>
        <v>0</v>
      </c>
      <c r="G152" s="47"/>
      <c r="H152" s="47"/>
      <c r="I152" s="47"/>
      <c r="J152" s="48"/>
      <c r="K152" s="48"/>
      <c r="L152" s="48"/>
      <c r="Z152" s="41"/>
    </row>
    <row r="153" spans="1:27" ht="18.75" customHeight="1" x14ac:dyDescent="0.35">
      <c r="A153" s="40"/>
      <c r="B153" s="185" t="s">
        <v>103</v>
      </c>
      <c r="C153" s="186" t="s">
        <v>74</v>
      </c>
      <c r="D153" s="327">
        <f t="shared" si="7"/>
        <v>0</v>
      </c>
      <c r="E153" s="327">
        <f>IF($D$6="ja",SUMIF($M$120:$M$123,$B153,$F$120:$F$123),"")</f>
        <v>0</v>
      </c>
      <c r="F153" s="327">
        <f t="shared" si="8"/>
        <v>0</v>
      </c>
      <c r="G153" s="47"/>
      <c r="H153" s="47"/>
      <c r="I153" s="47"/>
      <c r="J153" s="48"/>
      <c r="K153" s="48"/>
      <c r="L153" s="48"/>
      <c r="Z153" s="41"/>
    </row>
    <row r="154" spans="1:27" ht="18.75" customHeight="1" x14ac:dyDescent="0.35">
      <c r="A154" s="40"/>
      <c r="B154" s="185" t="s">
        <v>104</v>
      </c>
      <c r="C154" s="186" t="s">
        <v>113</v>
      </c>
      <c r="D154" s="327">
        <f t="shared" si="7"/>
        <v>0</v>
      </c>
      <c r="E154" s="327">
        <f>IF($D$6="ja",SUMIF($M$120:$M$123,$B154,$F$120:$F$123),"")</f>
        <v>0</v>
      </c>
      <c r="F154" s="327">
        <f t="shared" si="8"/>
        <v>0</v>
      </c>
      <c r="G154" s="47"/>
      <c r="H154" s="47"/>
      <c r="I154" s="47"/>
      <c r="J154" s="48"/>
      <c r="K154" s="48"/>
      <c r="L154" s="48"/>
      <c r="Z154" s="41"/>
    </row>
    <row r="155" spans="1:27" s="9" customFormat="1" ht="18.75" customHeight="1" x14ac:dyDescent="0.35">
      <c r="A155" s="43"/>
      <c r="B155" s="274" t="s">
        <v>226</v>
      </c>
      <c r="C155" s="275" t="s">
        <v>267</v>
      </c>
      <c r="D155" s="328">
        <f>SUM(D148:D154)</f>
        <v>0</v>
      </c>
      <c r="E155" s="328">
        <f ca="1">IF($D$6="ja",SUM(E148:E154),"")</f>
        <v>0</v>
      </c>
      <c r="F155" s="328">
        <f t="shared" ca="1" si="8"/>
        <v>0</v>
      </c>
      <c r="H155" s="45"/>
      <c r="I155" s="45"/>
      <c r="J155" s="45"/>
      <c r="K155" s="45"/>
      <c r="L155" s="45"/>
      <c r="M155" s="45"/>
      <c r="N155" s="45"/>
      <c r="O155" s="45"/>
      <c r="Z155" s="46"/>
    </row>
    <row r="156" spans="1:27" ht="6" customHeight="1" x14ac:dyDescent="0.35">
      <c r="A156" s="40"/>
      <c r="B156" s="266"/>
      <c r="C156" s="267"/>
      <c r="D156" s="268"/>
      <c r="E156" s="268"/>
      <c r="F156" s="268"/>
      <c r="Z156" s="41"/>
    </row>
    <row r="157" spans="1:27" ht="18.75" customHeight="1" x14ac:dyDescent="0.35">
      <c r="A157" s="40"/>
      <c r="B157" s="175" t="s">
        <v>117</v>
      </c>
      <c r="C157" s="276"/>
      <c r="D157" s="321">
        <f>SUM(D142,D146,D155)</f>
        <v>0</v>
      </c>
      <c r="E157" s="321">
        <f ca="1">IF($D$6="ja",SUM(E142,E146,E155),"")</f>
        <v>0</v>
      </c>
      <c r="F157" s="321">
        <f ca="1">IF($D$6="ja",SUM(D157:E157),"")</f>
        <v>0</v>
      </c>
      <c r="Z157" s="41"/>
    </row>
    <row r="158" spans="1:27" x14ac:dyDescent="0.35">
      <c r="A158" s="40"/>
      <c r="Z158" s="41"/>
    </row>
    <row r="159" spans="1:27" x14ac:dyDescent="0.35">
      <c r="A159" s="40"/>
      <c r="Z159" s="41"/>
      <c r="AA159" s="40"/>
    </row>
    <row r="160" spans="1:27" x14ac:dyDescent="0.35">
      <c r="A160" s="40"/>
      <c r="Z160" s="41"/>
    </row>
    <row r="161" spans="1:26" ht="24" customHeight="1" x14ac:dyDescent="0.35">
      <c r="A161" s="40"/>
      <c r="B161" s="277" t="s">
        <v>288</v>
      </c>
      <c r="Z161" s="41"/>
    </row>
    <row r="162" spans="1:26" ht="15" customHeight="1" x14ac:dyDescent="0.35">
      <c r="A162" s="40"/>
      <c r="B162" s="461" t="s">
        <v>290</v>
      </c>
      <c r="C162" s="462"/>
      <c r="D162" s="447">
        <f>SUMIF(Strom[Zuordnung Gliederungselement (Dropdown)],$D$93,Strom[Vermiedene Emissionen '[kg CO2e']])/1000</f>
        <v>0</v>
      </c>
      <c r="E162" s="448" t="s">
        <v>291</v>
      </c>
      <c r="Z162" s="41"/>
    </row>
    <row r="163" spans="1:26" ht="15.75" customHeight="1" x14ac:dyDescent="0.35">
      <c r="A163" s="40"/>
      <c r="B163" s="463"/>
      <c r="C163" s="464"/>
      <c r="D163" s="447"/>
      <c r="E163" s="448"/>
      <c r="Z163" s="41"/>
    </row>
    <row r="164" spans="1:26" x14ac:dyDescent="0.35">
      <c r="A164" s="40"/>
      <c r="Z164" s="41"/>
    </row>
    <row r="165" spans="1:26" x14ac:dyDescent="0.35">
      <c r="A165" s="40"/>
      <c r="Z165" s="41"/>
    </row>
    <row r="166" spans="1:26" x14ac:dyDescent="0.35">
      <c r="A166" s="40"/>
      <c r="Z166" s="41"/>
    </row>
    <row r="167" spans="1:26" x14ac:dyDescent="0.35">
      <c r="A167" s="40"/>
      <c r="Z167" s="41"/>
    </row>
    <row r="168" spans="1:26" ht="6" customHeight="1" x14ac:dyDescent="0.35">
      <c r="A168" s="40"/>
      <c r="Z168" s="41"/>
    </row>
    <row r="169" spans="1:26" ht="6" customHeight="1" x14ac:dyDescent="0.35">
      <c r="A169" s="40"/>
      <c r="Z169" s="41"/>
    </row>
    <row r="170" spans="1:26" ht="6" customHeight="1" x14ac:dyDescent="0.35">
      <c r="A170" s="40"/>
      <c r="Z170" s="41"/>
    </row>
    <row r="171" spans="1:26" ht="6" customHeight="1" x14ac:dyDescent="0.35">
      <c r="A171" s="40"/>
      <c r="Z171" s="41"/>
    </row>
    <row r="172" spans="1:26" ht="6" customHeight="1" thickBot="1" x14ac:dyDescent="0.4">
      <c r="A172" s="49"/>
      <c r="B172" s="50"/>
      <c r="C172" s="51"/>
      <c r="D172" s="52"/>
      <c r="E172" s="52"/>
      <c r="F172" s="52"/>
      <c r="G172" s="52"/>
      <c r="H172" s="53"/>
      <c r="I172" s="53"/>
      <c r="J172" s="53"/>
      <c r="K172" s="53"/>
      <c r="L172" s="53"/>
      <c r="M172" s="53"/>
      <c r="N172" s="53"/>
      <c r="O172" s="53"/>
      <c r="P172" s="52"/>
      <c r="Q172" s="52"/>
      <c r="R172" s="52"/>
      <c r="S172" s="52"/>
      <c r="T172" s="52"/>
      <c r="U172" s="52"/>
      <c r="V172" s="52"/>
      <c r="W172" s="52"/>
      <c r="X172" s="52"/>
      <c r="Y172" s="52"/>
      <c r="Z172" s="54"/>
    </row>
  </sheetData>
  <sheetProtection algorithmName="SHA-512" hashValue="5x8inp5jwNbBNRf4DJrBVrQ4Mh7OiZ77VT1Jk0qs977tKoGQJXESEnrfftXk/6DCF8Q4Hjsq6pviIHcZjQESXA==" saltValue="UM1U4SCJNhoIOCo7M1CGpw==" spinCount="100000" sheet="1" objects="1" scenarios="1"/>
  <mergeCells count="38">
    <mergeCell ref="H92:N94"/>
    <mergeCell ref="B80:C81"/>
    <mergeCell ref="B111:B119"/>
    <mergeCell ref="B120:B124"/>
    <mergeCell ref="B162:C163"/>
    <mergeCell ref="D102:E102"/>
    <mergeCell ref="C103:C106"/>
    <mergeCell ref="D103:E103"/>
    <mergeCell ref="D104:E104"/>
    <mergeCell ref="D105:E105"/>
    <mergeCell ref="D106:E106"/>
    <mergeCell ref="Q3:S3"/>
    <mergeCell ref="F7:G7"/>
    <mergeCell ref="D162:D163"/>
    <mergeCell ref="E162:E163"/>
    <mergeCell ref="D11:G11"/>
    <mergeCell ref="D80:D81"/>
    <mergeCell ref="E80:E81"/>
    <mergeCell ref="D20:E20"/>
    <mergeCell ref="D21:E21"/>
    <mergeCell ref="D22:E22"/>
    <mergeCell ref="D23:E23"/>
    <mergeCell ref="D24:E24"/>
    <mergeCell ref="D93:G93"/>
    <mergeCell ref="F3:G3"/>
    <mergeCell ref="D8:E8"/>
    <mergeCell ref="F8:G8"/>
    <mergeCell ref="M3:O3"/>
    <mergeCell ref="F4:G4"/>
    <mergeCell ref="F6:G6"/>
    <mergeCell ref="D4:D5"/>
    <mergeCell ref="B38:B42"/>
    <mergeCell ref="B6:C6"/>
    <mergeCell ref="B7:C7"/>
    <mergeCell ref="B5:C5"/>
    <mergeCell ref="F5:G5"/>
    <mergeCell ref="B29:B37"/>
    <mergeCell ref="C21:C24"/>
  </mergeCells>
  <conditionalFormatting sqref="B45:G50 B127:G132">
    <cfRule type="expression" dxfId="7" priority="36">
      <formula>$D$7="nein"</formula>
    </cfRule>
  </conditionalFormatting>
  <conditionalFormatting sqref="C17:F17 C99:F99">
    <cfRule type="expression" dxfId="6" priority="38">
      <formula>$D$6="nein"</formula>
    </cfRule>
  </conditionalFormatting>
  <conditionalFormatting sqref="C18:G18 B38:G38 C39:G42 B43:G43 E55:F55 E57:F60 E62:F64 E66:F75 C100:G100 B120:G120 C121:G124 B125:G125 E137:F137 E139:F142 E144:F146 E148:F157">
    <cfRule type="expression" dxfId="5" priority="33">
      <formula>$D$6="nein"</formula>
    </cfRule>
  </conditionalFormatting>
  <conditionalFormatting sqref="C20:G24">
    <cfRule type="expression" dxfId="4" priority="42">
      <formula>$D$7="nein"</formula>
    </cfRule>
  </conditionalFormatting>
  <conditionalFormatting sqref="C102:G106">
    <cfRule type="expression" dxfId="3" priority="1">
      <formula>$D$7="nein"</formula>
    </cfRule>
  </conditionalFormatting>
  <conditionalFormatting sqref="G15:G18 G97:G100">
    <cfRule type="expression" dxfId="2" priority="47">
      <formula>$D$6="nein"</formula>
    </cfRule>
  </conditionalFormatting>
  <conditionalFormatting sqref="G17">
    <cfRule type="expression" dxfId="1" priority="48">
      <formula>$D$6="nein"</formula>
    </cfRule>
  </conditionalFormatting>
  <conditionalFormatting sqref="G99">
    <cfRule type="expression" dxfId="0" priority="2">
      <formula>$D$6="nein"</formula>
    </cfRule>
  </conditionalFormatting>
  <dataValidations count="1">
    <dataValidation type="list" allowBlank="1" showInputMessage="1" showErrorMessage="1" sqref="D93" xr:uid="{B7DE853F-BD92-4BE2-B761-6242B1734C1C}">
      <formula1>Gliederungselemente</formula1>
    </dataValidation>
  </dataValidations>
  <hyperlinks>
    <hyperlink ref="F7:G7" location="Ergebnisse!A92:G107" display="Teilergebnis" xr:uid="{BD1AD367-BECB-4F80-AF22-B58E97F094E8}"/>
    <hyperlink ref="F5:G5" location="Ergebnisse!A10:G25" display="Gesamtergebnis" xr:uid="{2BDB6F4D-A11C-47D8-AA2E-6422EF271C58}"/>
  </hyperlink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DD2736-4786-4E0F-8133-DB51950BBB9C}">
          <x14:formula1>
            <xm:f>INDIRECT(Dropdowns!$B$85)</xm:f>
          </x14:formula1>
          <xm:sqref>D6:D7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E562D-7534-4F47-8718-6634376CE617}">
  <sheetPr>
    <tabColor rgb="FFC7ABFF"/>
  </sheetPr>
  <dimension ref="A2:AA228"/>
  <sheetViews>
    <sheetView showGridLines="0" zoomScaleNormal="100" workbookViewId="0"/>
  </sheetViews>
  <sheetFormatPr baseColWidth="10" defaultRowHeight="14.5" x14ac:dyDescent="0.35"/>
  <cols>
    <col min="1" max="2" width="10.1796875" customWidth="1"/>
    <col min="3" max="3" width="44.453125" hidden="1" customWidth="1"/>
    <col min="4" max="4" width="25.26953125" customWidth="1"/>
    <col min="5" max="5" width="38.453125" customWidth="1"/>
    <col min="6" max="6" width="23.7265625" customWidth="1"/>
    <col min="7" max="9" width="20.26953125" customWidth="1"/>
    <col min="10" max="11" width="31.26953125" customWidth="1"/>
    <col min="12" max="12" width="36.453125" customWidth="1"/>
    <col min="13" max="13" width="45.1796875" customWidth="1"/>
    <col min="14" max="14" width="32.7265625" customWidth="1"/>
    <col min="15" max="15" width="30.453125" customWidth="1"/>
    <col min="16" max="19" width="19.1796875" customWidth="1"/>
    <col min="20" max="20" width="20" customWidth="1"/>
  </cols>
  <sheetData>
    <row r="2" spans="1:16" ht="18.5" x14ac:dyDescent="0.45">
      <c r="D2" s="288" t="s">
        <v>149</v>
      </c>
    </row>
    <row r="3" spans="1:16" ht="5.25" customHeight="1" x14ac:dyDescent="0.45">
      <c r="D3" s="5"/>
    </row>
    <row r="4" spans="1:16" x14ac:dyDescent="0.35">
      <c r="D4" s="468" t="s">
        <v>93</v>
      </c>
      <c r="E4" s="469"/>
      <c r="F4" s="469"/>
      <c r="G4" s="469"/>
      <c r="H4" s="469"/>
      <c r="I4" s="470"/>
    </row>
    <row r="5" spans="1:16" ht="262.5" customHeight="1" x14ac:dyDescent="0.35">
      <c r="D5" s="465" t="s">
        <v>451</v>
      </c>
      <c r="E5" s="466"/>
      <c r="F5" s="466"/>
      <c r="G5" s="466"/>
      <c r="H5" s="466"/>
      <c r="I5" s="467"/>
    </row>
    <row r="6" spans="1:16" ht="15" customHeight="1" x14ac:dyDescent="0.35"/>
    <row r="7" spans="1:16" ht="18.5" x14ac:dyDescent="0.45">
      <c r="D7" s="5" t="s">
        <v>125</v>
      </c>
    </row>
    <row r="8" spans="1:16" s="10" customFormat="1" ht="32.25" customHeight="1" x14ac:dyDescent="0.35">
      <c r="A8" s="471" t="s">
        <v>14</v>
      </c>
      <c r="B8" s="471"/>
      <c r="C8" s="159" t="s">
        <v>51</v>
      </c>
      <c r="D8" s="159" t="s">
        <v>0</v>
      </c>
      <c r="E8" s="159" t="s">
        <v>1</v>
      </c>
      <c r="F8" s="159" t="s">
        <v>59</v>
      </c>
      <c r="G8" s="159" t="s">
        <v>5</v>
      </c>
      <c r="H8" s="159" t="s">
        <v>6</v>
      </c>
      <c r="I8" s="159" t="s">
        <v>7</v>
      </c>
      <c r="J8" s="159" t="s">
        <v>2</v>
      </c>
      <c r="K8" s="159" t="s">
        <v>3</v>
      </c>
      <c r="L8" s="159" t="s">
        <v>4</v>
      </c>
      <c r="M8" s="159" t="s">
        <v>25</v>
      </c>
      <c r="N8" s="159" t="s">
        <v>314</v>
      </c>
      <c r="O8" s="159" t="s">
        <v>315</v>
      </c>
      <c r="P8" s="159" t="s">
        <v>316</v>
      </c>
    </row>
    <row r="9" spans="1:16" x14ac:dyDescent="0.35">
      <c r="C9" t="str">
        <f>CONCATENATE(EFs_Wärme[[#This Row],[Thema]]," - ",EFs_Wärme[[#This Row],[Bezeichnung]])</f>
        <v>Wärme - Erdgas (in kWh)</v>
      </c>
      <c r="D9" s="2" t="str">
        <f t="shared" ref="D9:D25" si="0">"Wärme"</f>
        <v>Wärme</v>
      </c>
      <c r="E9" t="s">
        <v>407</v>
      </c>
      <c r="F9" t="s">
        <v>269</v>
      </c>
      <c r="G9">
        <v>0.1818371</v>
      </c>
      <c r="H9">
        <v>0</v>
      </c>
      <c r="I9">
        <v>5.0259199999999997E-2</v>
      </c>
      <c r="J9" t="s">
        <v>501</v>
      </c>
      <c r="K9" t="s">
        <v>140</v>
      </c>
      <c r="L9" t="s">
        <v>501</v>
      </c>
      <c r="M9" t="s">
        <v>502</v>
      </c>
      <c r="N9" t="s">
        <v>97</v>
      </c>
      <c r="O9" t="s">
        <v>140</v>
      </c>
      <c r="P9" t="s">
        <v>99</v>
      </c>
    </row>
    <row r="10" spans="1:16" ht="16.5" x14ac:dyDescent="0.35">
      <c r="C10" t="str">
        <f>CONCATENATE(EFs_Wärme[[#This Row],[Thema]]," - ",EFs_Wärme[[#This Row],[Bezeichnung]])</f>
        <v>Wärme - Erdgas (in m3)</v>
      </c>
      <c r="D10" s="2" t="str">
        <f>"Wärme"</f>
        <v>Wärme</v>
      </c>
      <c r="E10" t="s">
        <v>408</v>
      </c>
      <c r="F10" t="s">
        <v>320</v>
      </c>
      <c r="G10">
        <v>1.9602040000000001</v>
      </c>
      <c r="H10">
        <v>0</v>
      </c>
      <c r="I10">
        <v>0.54179390000000005</v>
      </c>
      <c r="J10" t="s">
        <v>501</v>
      </c>
      <c r="K10" t="s">
        <v>140</v>
      </c>
      <c r="L10" t="s">
        <v>501</v>
      </c>
      <c r="M10" t="s">
        <v>503</v>
      </c>
      <c r="N10" t="s">
        <v>97</v>
      </c>
      <c r="O10" t="s">
        <v>140</v>
      </c>
      <c r="P10" t="s">
        <v>99</v>
      </c>
    </row>
    <row r="11" spans="1:16" x14ac:dyDescent="0.35">
      <c r="C11" t="str">
        <f>CONCATENATE(EFs_Wärme[[#This Row],[Thema]]," - ",EFs_Wärme[[#This Row],[Bezeichnung]])</f>
        <v>Wärme - Biomethan (in kWh)</v>
      </c>
      <c r="D11" s="2" t="str">
        <f t="shared" si="0"/>
        <v>Wärme</v>
      </c>
      <c r="E11" t="s">
        <v>410</v>
      </c>
      <c r="F11" t="s">
        <v>269</v>
      </c>
      <c r="G11">
        <v>2.55477E-2</v>
      </c>
      <c r="H11">
        <v>0</v>
      </c>
      <c r="I11">
        <v>0.1204938</v>
      </c>
      <c r="J11" t="s">
        <v>504</v>
      </c>
      <c r="K11" t="s">
        <v>140</v>
      </c>
      <c r="L11" t="s">
        <v>505</v>
      </c>
      <c r="M11" t="s">
        <v>502</v>
      </c>
      <c r="N11" t="s">
        <v>97</v>
      </c>
      <c r="O11" t="s">
        <v>140</v>
      </c>
      <c r="P11" t="s">
        <v>99</v>
      </c>
    </row>
    <row r="12" spans="1:16" ht="16.5" x14ac:dyDescent="0.35">
      <c r="C12" t="str">
        <f>CONCATENATE(EFs_Wärme[[#This Row],[Thema]]," - ",EFs_Wärme[[#This Row],[Bezeichnung]])</f>
        <v>Wärme - Biomethan (in m3)</v>
      </c>
      <c r="D12" s="2" t="str">
        <f>"Wärme"</f>
        <v>Wärme</v>
      </c>
      <c r="E12" t="s">
        <v>409</v>
      </c>
      <c r="F12" t="s">
        <v>320</v>
      </c>
      <c r="G12">
        <v>0.27540389999999998</v>
      </c>
      <c r="H12">
        <v>0</v>
      </c>
      <c r="I12">
        <v>1.2989227999999999</v>
      </c>
      <c r="J12" t="s">
        <v>504</v>
      </c>
      <c r="K12" t="s">
        <v>140</v>
      </c>
      <c r="L12" t="s">
        <v>505</v>
      </c>
      <c r="M12" t="s">
        <v>503</v>
      </c>
      <c r="N12" t="s">
        <v>97</v>
      </c>
      <c r="O12" t="s">
        <v>140</v>
      </c>
      <c r="P12" t="s">
        <v>99</v>
      </c>
    </row>
    <row r="13" spans="1:16" x14ac:dyDescent="0.35">
      <c r="C13" t="str">
        <f>CONCATENATE(EFs_Wärme[[#This Row],[Thema]]," - ",EFs_Wärme[[#This Row],[Bezeichnung]])</f>
        <v>Wärme - Heizöl (in kWh)</v>
      </c>
      <c r="D13" s="2" t="str">
        <f t="shared" si="0"/>
        <v>Wärme</v>
      </c>
      <c r="E13" t="s">
        <v>82</v>
      </c>
      <c r="F13" t="s">
        <v>270</v>
      </c>
      <c r="G13">
        <v>0.26699800000000001</v>
      </c>
      <c r="H13">
        <v>0</v>
      </c>
      <c r="I13">
        <v>4.5747999999999997E-2</v>
      </c>
      <c r="J13" t="s">
        <v>501</v>
      </c>
      <c r="K13" t="s">
        <v>140</v>
      </c>
      <c r="L13" t="s">
        <v>501</v>
      </c>
      <c r="M13" t="s">
        <v>140</v>
      </c>
      <c r="N13" t="s">
        <v>97</v>
      </c>
      <c r="O13" t="s">
        <v>140</v>
      </c>
      <c r="P13" t="s">
        <v>99</v>
      </c>
    </row>
    <row r="14" spans="1:16" x14ac:dyDescent="0.35">
      <c r="C14" t="str">
        <f>CONCATENATE(EFs_Wärme[[#This Row],[Thema]]," - ",EFs_Wärme[[#This Row],[Bezeichnung]])</f>
        <v>Wärme - Heizöl (in L)</v>
      </c>
      <c r="D14" s="2" t="str">
        <f t="shared" si="0"/>
        <v>Wärme</v>
      </c>
      <c r="E14" t="s">
        <v>83</v>
      </c>
      <c r="F14" t="s">
        <v>29</v>
      </c>
      <c r="G14">
        <v>2.6677906</v>
      </c>
      <c r="H14">
        <v>0</v>
      </c>
      <c r="I14">
        <v>0.45710489999999998</v>
      </c>
      <c r="J14" t="s">
        <v>501</v>
      </c>
      <c r="K14" t="s">
        <v>140</v>
      </c>
      <c r="L14" t="s">
        <v>501</v>
      </c>
      <c r="M14" t="s">
        <v>506</v>
      </c>
      <c r="N14" t="s">
        <v>97</v>
      </c>
      <c r="O14" t="s">
        <v>140</v>
      </c>
      <c r="P14" t="s">
        <v>99</v>
      </c>
    </row>
    <row r="15" spans="1:16" x14ac:dyDescent="0.35">
      <c r="C15" t="str">
        <f>CONCATENATE(EFs_Wärme[[#This Row],[Thema]]," - ",EFs_Wärme[[#This Row],[Bezeichnung]])</f>
        <v>Wärme - Flüssiggas (in kWh)</v>
      </c>
      <c r="D15" s="2" t="str">
        <f>"Wärme"</f>
        <v>Wärme</v>
      </c>
      <c r="E15" t="s">
        <v>428</v>
      </c>
      <c r="F15" t="s">
        <v>28</v>
      </c>
      <c r="G15">
        <v>0.23291999999999999</v>
      </c>
      <c r="H15">
        <v>0</v>
      </c>
      <c r="I15">
        <v>3.6035999999999999E-2</v>
      </c>
      <c r="J15" t="s">
        <v>507</v>
      </c>
      <c r="K15" t="s">
        <v>140</v>
      </c>
      <c r="L15" t="s">
        <v>508</v>
      </c>
      <c r="M15" t="s">
        <v>509</v>
      </c>
      <c r="N15" t="s">
        <v>97</v>
      </c>
      <c r="O15" t="s">
        <v>140</v>
      </c>
      <c r="P15" t="s">
        <v>99</v>
      </c>
    </row>
    <row r="16" spans="1:16" x14ac:dyDescent="0.35">
      <c r="C16" t="str">
        <f>CONCATENATE(EFs_Wärme[[#This Row],[Thema]]," - ",EFs_Wärme[[#This Row],[Bezeichnung]])</f>
        <v>Wärme - Flüssiggas (in L)</v>
      </c>
      <c r="D16" s="2" t="str">
        <f>"Wärme"</f>
        <v>Wärme</v>
      </c>
      <c r="E16" t="s">
        <v>429</v>
      </c>
      <c r="F16" t="s">
        <v>29</v>
      </c>
      <c r="G16">
        <v>1.6242909999999999</v>
      </c>
      <c r="H16">
        <v>0</v>
      </c>
      <c r="I16">
        <v>0.25130059999999999</v>
      </c>
      <c r="J16" t="s">
        <v>507</v>
      </c>
      <c r="K16" t="s">
        <v>140</v>
      </c>
      <c r="L16" t="s">
        <v>508</v>
      </c>
      <c r="M16" t="s">
        <v>510</v>
      </c>
      <c r="N16" t="s">
        <v>97</v>
      </c>
      <c r="O16" t="s">
        <v>140</v>
      </c>
      <c r="P16" t="s">
        <v>99</v>
      </c>
    </row>
    <row r="17" spans="1:27" s="8" customFormat="1" x14ac:dyDescent="0.35">
      <c r="C17" t="str">
        <f>CONCATENATE(EFs_Wärme[[#This Row],[Thema]]," - ",EFs_Wärme[[#This Row],[Bezeichnung]])</f>
        <v>Wärme - Fernwärme (fossiler Mix DE)</v>
      </c>
      <c r="D17" s="117" t="str">
        <f t="shared" si="0"/>
        <v>Wärme</v>
      </c>
      <c r="E17" s="8" t="s">
        <v>334</v>
      </c>
      <c r="F17" s="8" t="s">
        <v>28</v>
      </c>
      <c r="G17">
        <v>0</v>
      </c>
      <c r="H17">
        <v>0.26480199999999998</v>
      </c>
      <c r="I17">
        <v>4.2714000000000002E-2</v>
      </c>
      <c r="J17" t="s">
        <v>140</v>
      </c>
      <c r="K17" t="s">
        <v>511</v>
      </c>
      <c r="L17" t="s">
        <v>512</v>
      </c>
      <c r="M17" t="s">
        <v>513</v>
      </c>
      <c r="N17" t="s">
        <v>140</v>
      </c>
      <c r="O17" t="s">
        <v>98</v>
      </c>
      <c r="P17" t="s">
        <v>99</v>
      </c>
    </row>
    <row r="18" spans="1:27" x14ac:dyDescent="0.35">
      <c r="C18" t="str">
        <f>CONCATENATE(EFs_Wärme[[#This Row],[Thema]]," - ",EFs_Wärme[[#This Row],[Bezeichnung]])</f>
        <v>Wärme - Fernwärme (Wert Energieversorger)</v>
      </c>
      <c r="D18" s="2" t="str">
        <f t="shared" si="0"/>
        <v>Wärme</v>
      </c>
      <c r="E18" t="s">
        <v>70</v>
      </c>
      <c r="F18" t="s">
        <v>28</v>
      </c>
      <c r="G18">
        <v>0</v>
      </c>
      <c r="H18">
        <v>0</v>
      </c>
      <c r="I18">
        <v>4.2714000000000002E-2</v>
      </c>
      <c r="J18" t="s">
        <v>140</v>
      </c>
      <c r="K18" t="s">
        <v>140</v>
      </c>
      <c r="L18" t="s">
        <v>512</v>
      </c>
      <c r="M18" t="s">
        <v>140</v>
      </c>
      <c r="N18" t="s">
        <v>140</v>
      </c>
      <c r="O18" t="s">
        <v>98</v>
      </c>
      <c r="P18" t="s">
        <v>99</v>
      </c>
    </row>
    <row r="19" spans="1:27" x14ac:dyDescent="0.35">
      <c r="C19" t="str">
        <f>CONCATENATE(EFs_Wärme[[#This Row],[Thema]]," - ",EFs_Wärme[[#This Row],[Bezeichnung]])</f>
        <v>Wärme - Holzpellets</v>
      </c>
      <c r="D19" s="2" t="str">
        <f t="shared" si="0"/>
        <v>Wärme</v>
      </c>
      <c r="E19" t="s">
        <v>26</v>
      </c>
      <c r="F19" t="s">
        <v>30</v>
      </c>
      <c r="G19">
        <v>1.635E-3</v>
      </c>
      <c r="H19">
        <v>0</v>
      </c>
      <c r="I19">
        <v>9.0840000000000004E-2</v>
      </c>
      <c r="J19" t="s">
        <v>511</v>
      </c>
      <c r="K19" t="s">
        <v>140</v>
      </c>
      <c r="L19" t="s">
        <v>512</v>
      </c>
      <c r="M19" t="s">
        <v>514</v>
      </c>
      <c r="N19" t="s">
        <v>97</v>
      </c>
      <c r="O19" t="s">
        <v>140</v>
      </c>
      <c r="P19" t="s">
        <v>99</v>
      </c>
    </row>
    <row r="20" spans="1:27" x14ac:dyDescent="0.35">
      <c r="C20" t="str">
        <f>CONCATENATE(EFs_Wärme[[#This Row],[Thema]]," - ",EFs_Wärme[[#This Row],[Bezeichnung]])</f>
        <v>Wärme - Solarthermie</v>
      </c>
      <c r="D20" s="2" t="str">
        <f t="shared" si="0"/>
        <v>Wärme</v>
      </c>
      <c r="E20" t="s">
        <v>27</v>
      </c>
      <c r="F20" t="s">
        <v>28</v>
      </c>
      <c r="G20">
        <v>0</v>
      </c>
      <c r="H20">
        <v>0</v>
      </c>
      <c r="I20">
        <v>2.3011400000000001E-2</v>
      </c>
      <c r="J20" t="s">
        <v>511</v>
      </c>
      <c r="K20" t="s">
        <v>140</v>
      </c>
      <c r="L20" t="s">
        <v>512</v>
      </c>
      <c r="M20" t="s">
        <v>140</v>
      </c>
      <c r="N20" t="s">
        <v>140</v>
      </c>
      <c r="O20" t="s">
        <v>140</v>
      </c>
      <c r="P20" t="s">
        <v>99</v>
      </c>
    </row>
    <row r="21" spans="1:27" s="95" customFormat="1" x14ac:dyDescent="0.35">
      <c r="A21" s="285" t="s">
        <v>384</v>
      </c>
      <c r="B21"/>
      <c r="C21" s="95" t="str">
        <f>CONCATENATE(EFs_Wärme[[#This Row],[Thema]]," - ",EFs_Wärme[[#This Row],[Bezeichnung]])</f>
        <v xml:space="preserve">Wärme - </v>
      </c>
      <c r="D21" s="2" t="str">
        <f t="shared" si="0"/>
        <v>Wärme</v>
      </c>
      <c r="N21"/>
      <c r="O21"/>
      <c r="P21"/>
      <c r="R21"/>
      <c r="S21"/>
      <c r="T21"/>
      <c r="U21"/>
      <c r="V21"/>
      <c r="W21"/>
      <c r="X21"/>
      <c r="Y21"/>
    </row>
    <row r="22" spans="1:27" s="95" customFormat="1" x14ac:dyDescent="0.35">
      <c r="A22" s="285" t="s">
        <v>384</v>
      </c>
      <c r="B22"/>
      <c r="C22" s="95" t="str">
        <f>CONCATENATE(EFs_Wärme[[#This Row],[Thema]]," - ",EFs_Wärme[[#This Row],[Bezeichnung]])</f>
        <v xml:space="preserve">Wärme - </v>
      </c>
      <c r="D22" s="2" t="str">
        <f t="shared" si="0"/>
        <v>Wärme</v>
      </c>
      <c r="N22"/>
      <c r="O22"/>
      <c r="P22"/>
      <c r="R22"/>
      <c r="S22"/>
      <c r="T22"/>
      <c r="U22"/>
      <c r="V22"/>
      <c r="W22"/>
      <c r="X22"/>
      <c r="Y22"/>
    </row>
    <row r="23" spans="1:27" s="95" customFormat="1" x14ac:dyDescent="0.35">
      <c r="A23" s="285" t="s">
        <v>384</v>
      </c>
      <c r="B23"/>
      <c r="C23" s="95" t="str">
        <f>CONCATENATE(EFs_Wärme[[#This Row],[Thema]]," - ",EFs_Wärme[[#This Row],[Bezeichnung]])</f>
        <v xml:space="preserve">Wärme - </v>
      </c>
      <c r="D23" s="2" t="str">
        <f t="shared" si="0"/>
        <v>Wärme</v>
      </c>
      <c r="N23"/>
      <c r="O23"/>
      <c r="P23"/>
      <c r="R23"/>
      <c r="S23"/>
      <c r="T23"/>
      <c r="U23"/>
      <c r="V23"/>
      <c r="W23"/>
      <c r="X23"/>
      <c r="Y23"/>
    </row>
    <row r="24" spans="1:27" s="95" customFormat="1" x14ac:dyDescent="0.35">
      <c r="A24" s="285" t="s">
        <v>384</v>
      </c>
      <c r="B24"/>
      <c r="C24" s="95" t="str">
        <f>CONCATENATE(EFs_Wärme[[#This Row],[Thema]]," - ",EFs_Wärme[[#This Row],[Bezeichnung]])</f>
        <v xml:space="preserve">Wärme - </v>
      </c>
      <c r="D24" s="286" t="str">
        <f t="shared" si="0"/>
        <v>Wärme</v>
      </c>
      <c r="R24"/>
      <c r="S24"/>
      <c r="T24"/>
      <c r="U24"/>
      <c r="V24"/>
      <c r="W24"/>
      <c r="X24"/>
      <c r="Y24"/>
    </row>
    <row r="25" spans="1:27" s="95" customFormat="1" x14ac:dyDescent="0.35">
      <c r="A25" s="285" t="s">
        <v>384</v>
      </c>
      <c r="B25"/>
      <c r="C25" s="95" t="str">
        <f>CONCATENATE(EFs_Wärme[[#This Row],[Thema]]," - ",EFs_Wärme[[#This Row],[Bezeichnung]])</f>
        <v xml:space="preserve">Wärme - </v>
      </c>
      <c r="D25" s="286" t="str">
        <f t="shared" si="0"/>
        <v>Wärme</v>
      </c>
      <c r="R25"/>
      <c r="S25"/>
      <c r="T25"/>
      <c r="U25"/>
      <c r="V25"/>
      <c r="W25"/>
      <c r="X25"/>
      <c r="Y25"/>
    </row>
    <row r="27" spans="1:27" ht="29" x14ac:dyDescent="0.35">
      <c r="A27" s="471" t="s">
        <v>18</v>
      </c>
      <c r="B27" s="471"/>
      <c r="C27" s="159" t="s">
        <v>51</v>
      </c>
      <c r="D27" s="159" t="s">
        <v>0</v>
      </c>
      <c r="E27" s="159" t="s">
        <v>1</v>
      </c>
      <c r="F27" s="159" t="s">
        <v>59</v>
      </c>
      <c r="G27" s="159" t="s">
        <v>5</v>
      </c>
      <c r="H27" s="159" t="s">
        <v>6</v>
      </c>
      <c r="I27" s="159" t="s">
        <v>7</v>
      </c>
      <c r="J27" s="159" t="s">
        <v>2</v>
      </c>
      <c r="K27" s="159" t="s">
        <v>3</v>
      </c>
      <c r="L27" s="159" t="s">
        <v>4</v>
      </c>
      <c r="M27" s="159" t="s">
        <v>405</v>
      </c>
      <c r="N27" s="159" t="s">
        <v>406</v>
      </c>
      <c r="O27" s="159" t="s">
        <v>25</v>
      </c>
      <c r="P27" s="159" t="s">
        <v>314</v>
      </c>
      <c r="Q27" s="159" t="s">
        <v>315</v>
      </c>
      <c r="R27" s="159" t="s">
        <v>316</v>
      </c>
    </row>
    <row r="28" spans="1:27" x14ac:dyDescent="0.35">
      <c r="C28" t="str">
        <f>CONCATENATE(EFs_Strom[[#This Row],[Thema]]," - ",EFs_Strom[[#This Row],[Bezeichnung]])</f>
        <v>Strom - Strombezug (Strommix Deutschland)</v>
      </c>
      <c r="D28" s="2" t="str">
        <f>"Strom"</f>
        <v>Strom</v>
      </c>
      <c r="E28" t="s">
        <v>143</v>
      </c>
      <c r="F28" t="s">
        <v>28</v>
      </c>
      <c r="G28">
        <v>0</v>
      </c>
      <c r="H28">
        <v>0.377</v>
      </c>
      <c r="I28">
        <v>6.8519999999999998E-2</v>
      </c>
      <c r="J28" t="s">
        <v>140</v>
      </c>
      <c r="K28" t="s">
        <v>515</v>
      </c>
      <c r="L28" t="s">
        <v>516</v>
      </c>
      <c r="M28">
        <v>0</v>
      </c>
      <c r="N28" t="s">
        <v>140</v>
      </c>
      <c r="O28" t="s">
        <v>140</v>
      </c>
      <c r="P28" t="s">
        <v>140</v>
      </c>
      <c r="Q28" t="s">
        <v>97</v>
      </c>
      <c r="R28" t="s">
        <v>99</v>
      </c>
    </row>
    <row r="29" spans="1:27" x14ac:dyDescent="0.35">
      <c r="C29" t="str">
        <f>CONCATENATE(EFs_Strom[[#This Row],[Thema]]," - ",EFs_Strom[[#This Row],[Bezeichnung]])</f>
        <v>Strom - Strom Eigenerzeugung (Photovoltaik)</v>
      </c>
      <c r="D29" s="2" t="str">
        <f t="shared" ref="D29:D35" si="1">"Strom"</f>
        <v>Strom</v>
      </c>
      <c r="E29" t="s">
        <v>118</v>
      </c>
      <c r="F29" t="s">
        <v>28</v>
      </c>
      <c r="G29">
        <v>0</v>
      </c>
      <c r="H29">
        <v>0</v>
      </c>
      <c r="I29">
        <v>5.6563099999999998E-2</v>
      </c>
      <c r="J29" t="s">
        <v>140</v>
      </c>
      <c r="K29" t="s">
        <v>140</v>
      </c>
      <c r="L29" t="s">
        <v>512</v>
      </c>
      <c r="M29">
        <v>0.747</v>
      </c>
      <c r="N29" t="s">
        <v>517</v>
      </c>
      <c r="O29" t="s">
        <v>140</v>
      </c>
      <c r="P29" t="s">
        <v>140</v>
      </c>
      <c r="Q29" t="s">
        <v>140</v>
      </c>
      <c r="R29" t="s">
        <v>99</v>
      </c>
    </row>
    <row r="30" spans="1:27" x14ac:dyDescent="0.35">
      <c r="C30" t="str">
        <f>CONCATENATE(EFs_Strom[[#This Row],[Thema]]," - ",EFs_Strom[[#This Row],[Bezeichnung]])</f>
        <v>Strom - Diesel-Notstromaggregat</v>
      </c>
      <c r="D30" s="2" t="str">
        <f t="shared" si="1"/>
        <v>Strom</v>
      </c>
      <c r="E30" t="s">
        <v>141</v>
      </c>
      <c r="F30" t="s">
        <v>29</v>
      </c>
      <c r="G30">
        <v>2.4875411999999999</v>
      </c>
      <c r="H30">
        <v>0</v>
      </c>
      <c r="I30">
        <v>0.84432660000000004</v>
      </c>
      <c r="J30" t="s">
        <v>518</v>
      </c>
      <c r="K30" t="s">
        <v>140</v>
      </c>
      <c r="L30" t="s">
        <v>518</v>
      </c>
      <c r="M30">
        <v>0</v>
      </c>
      <c r="N30" t="s">
        <v>140</v>
      </c>
      <c r="O30" t="s">
        <v>140</v>
      </c>
      <c r="P30" t="s">
        <v>97</v>
      </c>
      <c r="Q30" t="s">
        <v>140</v>
      </c>
      <c r="R30" t="s">
        <v>99</v>
      </c>
    </row>
    <row r="31" spans="1:27" s="95" customFormat="1" x14ac:dyDescent="0.35">
      <c r="A31" s="285" t="s">
        <v>384</v>
      </c>
      <c r="B31"/>
      <c r="C31" s="95" t="str">
        <f>CONCATENATE(EFs_Strom[[#This Row],[Thema]]," - ",EFs_Strom[[#This Row],[Bezeichnung]])</f>
        <v xml:space="preserve">Strom - </v>
      </c>
      <c r="D31" s="2" t="str">
        <f t="shared" si="1"/>
        <v>Strom</v>
      </c>
      <c r="P31"/>
      <c r="Q31"/>
      <c r="R31"/>
      <c r="T31"/>
      <c r="U31"/>
      <c r="V31"/>
      <c r="W31"/>
      <c r="X31"/>
      <c r="Y31"/>
      <c r="Z31"/>
      <c r="AA31"/>
    </row>
    <row r="32" spans="1:27" s="95" customFormat="1" x14ac:dyDescent="0.35">
      <c r="A32" s="285" t="s">
        <v>384</v>
      </c>
      <c r="B32"/>
      <c r="C32" s="95" t="str">
        <f>CONCATENATE(EFs_Strom[[#This Row],[Thema]]," - ",EFs_Strom[[#This Row],[Bezeichnung]])</f>
        <v xml:space="preserve">Strom - </v>
      </c>
      <c r="D32" s="2" t="str">
        <f t="shared" si="1"/>
        <v>Strom</v>
      </c>
      <c r="P32"/>
      <c r="Q32"/>
      <c r="R32"/>
      <c r="T32"/>
      <c r="U32"/>
      <c r="V32"/>
      <c r="W32"/>
      <c r="X32"/>
      <c r="Y32"/>
      <c r="Z32"/>
      <c r="AA32"/>
    </row>
    <row r="33" spans="1:27" s="95" customFormat="1" x14ac:dyDescent="0.35">
      <c r="A33" s="285" t="s">
        <v>384</v>
      </c>
      <c r="B33"/>
      <c r="C33" s="95" t="str">
        <f>CONCATENATE(EFs_Strom[[#This Row],[Thema]]," - ",EFs_Strom[[#This Row],[Bezeichnung]])</f>
        <v xml:space="preserve">Strom - </v>
      </c>
      <c r="D33" s="2" t="str">
        <f t="shared" si="1"/>
        <v>Strom</v>
      </c>
      <c r="P33"/>
      <c r="Q33"/>
      <c r="R33"/>
      <c r="T33"/>
      <c r="U33"/>
      <c r="V33"/>
      <c r="W33"/>
      <c r="X33"/>
      <c r="Y33"/>
      <c r="Z33"/>
      <c r="AA33"/>
    </row>
    <row r="34" spans="1:27" s="95" customFormat="1" x14ac:dyDescent="0.35">
      <c r="A34" s="285" t="s">
        <v>384</v>
      </c>
      <c r="B34"/>
      <c r="C34" s="95" t="str">
        <f>CONCATENATE(EFs_Strom[[#This Row],[Thema]]," - ",EFs_Strom[[#This Row],[Bezeichnung]])</f>
        <v xml:space="preserve">Strom - </v>
      </c>
      <c r="D34" s="286" t="str">
        <f t="shared" si="1"/>
        <v>Strom</v>
      </c>
      <c r="T34"/>
      <c r="U34"/>
      <c r="V34"/>
      <c r="W34"/>
      <c r="X34"/>
      <c r="Y34"/>
      <c r="Z34"/>
      <c r="AA34"/>
    </row>
    <row r="35" spans="1:27" s="95" customFormat="1" x14ac:dyDescent="0.35">
      <c r="A35" s="285" t="s">
        <v>384</v>
      </c>
      <c r="B35"/>
      <c r="C35" s="95" t="str">
        <f>CONCATENATE(EFs_Strom[[#This Row],[Thema]]," - ",EFs_Strom[[#This Row],[Bezeichnung]])</f>
        <v xml:space="preserve">Strom - </v>
      </c>
      <c r="D35" s="286" t="str">
        <f t="shared" si="1"/>
        <v>Strom</v>
      </c>
      <c r="T35"/>
      <c r="U35"/>
      <c r="V35"/>
      <c r="W35"/>
      <c r="X35"/>
      <c r="Y35"/>
      <c r="Z35"/>
      <c r="AA35"/>
    </row>
    <row r="37" spans="1:27" ht="30" customHeight="1" x14ac:dyDescent="0.35">
      <c r="A37" s="471" t="s">
        <v>16</v>
      </c>
      <c r="B37" s="471"/>
      <c r="C37" s="159" t="s">
        <v>51</v>
      </c>
      <c r="D37" s="159" t="s">
        <v>0</v>
      </c>
      <c r="E37" s="159" t="s">
        <v>1</v>
      </c>
      <c r="F37" s="159" t="s">
        <v>59</v>
      </c>
      <c r="G37" s="159" t="s">
        <v>5</v>
      </c>
      <c r="H37" s="159" t="s">
        <v>6</v>
      </c>
      <c r="I37" s="159" t="s">
        <v>7</v>
      </c>
      <c r="J37" s="159" t="s">
        <v>2</v>
      </c>
      <c r="K37" s="159" t="s">
        <v>3</v>
      </c>
      <c r="L37" s="159" t="s">
        <v>4</v>
      </c>
      <c r="M37" s="159" t="s">
        <v>25</v>
      </c>
      <c r="N37" s="159" t="s">
        <v>314</v>
      </c>
      <c r="O37" s="159" t="s">
        <v>315</v>
      </c>
      <c r="P37" s="159" t="s">
        <v>316</v>
      </c>
    </row>
    <row r="38" spans="1:27" x14ac:dyDescent="0.35">
      <c r="A38" s="471"/>
      <c r="B38" s="471"/>
      <c r="C38" t="str">
        <f>CONCATENATE(EFs_Kühlmittel[[#This Row],[Thema]]," - ",EFs_Kühlmittel[[#This Row],[Bezeichnung]])</f>
        <v>Kühl_und_Kältemittel - CFC-12</v>
      </c>
      <c r="D38" s="2" t="str">
        <f t="shared" ref="D38:D69" si="2">"Kühl_und_Kältemittel"</f>
        <v>Kühl_und_Kältemittel</v>
      </c>
      <c r="E38" t="s">
        <v>150</v>
      </c>
      <c r="F38" t="s">
        <v>30</v>
      </c>
      <c r="G38">
        <v>12500</v>
      </c>
      <c r="H38">
        <v>0</v>
      </c>
      <c r="I38">
        <v>0</v>
      </c>
      <c r="J38" t="s">
        <v>519</v>
      </c>
      <c r="K38" t="s">
        <v>140</v>
      </c>
      <c r="L38" t="s">
        <v>140</v>
      </c>
      <c r="M38" t="s">
        <v>140</v>
      </c>
      <c r="N38" t="s">
        <v>100</v>
      </c>
      <c r="O38" t="s">
        <v>140</v>
      </c>
      <c r="P38" t="s">
        <v>140</v>
      </c>
    </row>
    <row r="39" spans="1:27" x14ac:dyDescent="0.35">
      <c r="C39" t="str">
        <f>CONCATENATE(EFs_Kühlmittel[[#This Row],[Thema]]," - ",EFs_Kühlmittel[[#This Row],[Bezeichnung]])</f>
        <v>Kühl_und_Kältemittel - HCFC-123</v>
      </c>
      <c r="D39" s="2" t="str">
        <f t="shared" si="2"/>
        <v>Kühl_und_Kältemittel</v>
      </c>
      <c r="E39" t="s">
        <v>151</v>
      </c>
      <c r="F39" t="s">
        <v>30</v>
      </c>
      <c r="G39">
        <v>90.4</v>
      </c>
      <c r="H39">
        <v>0</v>
      </c>
      <c r="I39">
        <v>0</v>
      </c>
      <c r="J39" t="s">
        <v>519</v>
      </c>
      <c r="K39" t="s">
        <v>140</v>
      </c>
      <c r="L39" t="s">
        <v>140</v>
      </c>
      <c r="M39" t="s">
        <v>140</v>
      </c>
      <c r="N39" t="s">
        <v>100</v>
      </c>
      <c r="O39" t="s">
        <v>140</v>
      </c>
      <c r="P39" t="s">
        <v>140</v>
      </c>
    </row>
    <row r="40" spans="1:27" x14ac:dyDescent="0.35">
      <c r="C40" t="str">
        <f>CONCATENATE(EFs_Kühlmittel[[#This Row],[Thema]]," - ",EFs_Kühlmittel[[#This Row],[Bezeichnung]])</f>
        <v>Kühl_und_Kältemittel - HCFC-22</v>
      </c>
      <c r="D40" s="2" t="str">
        <f t="shared" si="2"/>
        <v>Kühl_und_Kältemittel</v>
      </c>
      <c r="E40" t="s">
        <v>152</v>
      </c>
      <c r="F40" t="s">
        <v>30</v>
      </c>
      <c r="G40">
        <v>1960</v>
      </c>
      <c r="H40">
        <v>0</v>
      </c>
      <c r="I40">
        <v>0</v>
      </c>
      <c r="J40" t="s">
        <v>519</v>
      </c>
      <c r="K40" t="s">
        <v>140</v>
      </c>
      <c r="L40" t="s">
        <v>140</v>
      </c>
      <c r="M40" t="s">
        <v>140</v>
      </c>
      <c r="N40" t="s">
        <v>100</v>
      </c>
      <c r="O40" t="s">
        <v>140</v>
      </c>
      <c r="P40" t="s">
        <v>140</v>
      </c>
    </row>
    <row r="41" spans="1:27" x14ac:dyDescent="0.35">
      <c r="C41" t="str">
        <f>CONCATENATE(EFs_Kühlmittel[[#This Row],[Thema]]," - ",EFs_Kühlmittel[[#This Row],[Bezeichnung]])</f>
        <v>Kühl_und_Kältemittel - HFC-125</v>
      </c>
      <c r="D41" s="2" t="str">
        <f t="shared" si="2"/>
        <v>Kühl_und_Kältemittel</v>
      </c>
      <c r="E41" t="s">
        <v>153</v>
      </c>
      <c r="F41" t="s">
        <v>30</v>
      </c>
      <c r="G41">
        <v>3740</v>
      </c>
      <c r="H41">
        <v>0</v>
      </c>
      <c r="I41">
        <v>0</v>
      </c>
      <c r="J41" t="s">
        <v>519</v>
      </c>
      <c r="K41" t="s">
        <v>140</v>
      </c>
      <c r="L41" t="s">
        <v>140</v>
      </c>
      <c r="M41" t="s">
        <v>140</v>
      </c>
      <c r="N41" t="s">
        <v>100</v>
      </c>
      <c r="O41" t="s">
        <v>140</v>
      </c>
      <c r="P41" t="s">
        <v>140</v>
      </c>
    </row>
    <row r="42" spans="1:27" x14ac:dyDescent="0.35">
      <c r="C42" t="str">
        <f>CONCATENATE(EFs_Kühlmittel[[#This Row],[Thema]]," - ",EFs_Kühlmittel[[#This Row],[Bezeichnung]])</f>
        <v>Kühl_und_Kältemittel - HFC-134a</v>
      </c>
      <c r="D42" s="2" t="str">
        <f t="shared" si="2"/>
        <v>Kühl_und_Kältemittel</v>
      </c>
      <c r="E42" t="s">
        <v>154</v>
      </c>
      <c r="F42" t="s">
        <v>30</v>
      </c>
      <c r="G42">
        <v>1530</v>
      </c>
      <c r="H42">
        <v>0</v>
      </c>
      <c r="I42">
        <v>0</v>
      </c>
      <c r="J42" t="s">
        <v>519</v>
      </c>
      <c r="K42" t="s">
        <v>140</v>
      </c>
      <c r="L42" t="s">
        <v>140</v>
      </c>
      <c r="M42" t="s">
        <v>140</v>
      </c>
      <c r="N42" t="s">
        <v>100</v>
      </c>
      <c r="O42" t="s">
        <v>140</v>
      </c>
      <c r="P42" t="s">
        <v>140</v>
      </c>
    </row>
    <row r="43" spans="1:27" x14ac:dyDescent="0.35">
      <c r="C43" t="str">
        <f>CONCATENATE(EFs_Kühlmittel[[#This Row],[Thema]]," - ",EFs_Kühlmittel[[#This Row],[Bezeichnung]])</f>
        <v>Kühl_und_Kältemittel - HFC-143a</v>
      </c>
      <c r="D43" s="2" t="str">
        <f t="shared" si="2"/>
        <v>Kühl_und_Kältemittel</v>
      </c>
      <c r="E43" t="s">
        <v>155</v>
      </c>
      <c r="F43" t="s">
        <v>30</v>
      </c>
      <c r="G43">
        <v>5810</v>
      </c>
      <c r="H43">
        <v>0</v>
      </c>
      <c r="I43">
        <v>0</v>
      </c>
      <c r="J43" t="s">
        <v>519</v>
      </c>
      <c r="K43" t="s">
        <v>140</v>
      </c>
      <c r="L43" t="s">
        <v>140</v>
      </c>
      <c r="M43" t="s">
        <v>140</v>
      </c>
      <c r="N43" t="s">
        <v>100</v>
      </c>
      <c r="O43" t="s">
        <v>140</v>
      </c>
      <c r="P43" t="s">
        <v>140</v>
      </c>
    </row>
    <row r="44" spans="1:27" x14ac:dyDescent="0.35">
      <c r="C44" t="str">
        <f>CONCATENATE(EFs_Kühlmittel[[#This Row],[Thema]]," - ",EFs_Kühlmittel[[#This Row],[Bezeichnung]])</f>
        <v>Kühl_und_Kältemittel - HFC-227ea</v>
      </c>
      <c r="D44" s="2" t="str">
        <f t="shared" si="2"/>
        <v>Kühl_und_Kältemittel</v>
      </c>
      <c r="E44" t="s">
        <v>156</v>
      </c>
      <c r="F44" t="s">
        <v>30</v>
      </c>
      <c r="G44">
        <v>3600</v>
      </c>
      <c r="H44">
        <v>0</v>
      </c>
      <c r="I44">
        <v>0</v>
      </c>
      <c r="J44" t="s">
        <v>519</v>
      </c>
      <c r="K44" t="s">
        <v>140</v>
      </c>
      <c r="L44" t="s">
        <v>140</v>
      </c>
      <c r="M44" t="s">
        <v>140</v>
      </c>
      <c r="N44" t="s">
        <v>100</v>
      </c>
      <c r="O44" t="s">
        <v>140</v>
      </c>
      <c r="P44" t="s">
        <v>140</v>
      </c>
    </row>
    <row r="45" spans="1:27" x14ac:dyDescent="0.35">
      <c r="C45" t="str">
        <f>CONCATENATE(EFs_Kühlmittel[[#This Row],[Thema]]," - ",EFs_Kühlmittel[[#This Row],[Bezeichnung]])</f>
        <v>Kühl_und_Kältemittel - HFC-23</v>
      </c>
      <c r="D45" s="2" t="str">
        <f t="shared" si="2"/>
        <v>Kühl_und_Kältemittel</v>
      </c>
      <c r="E45" t="s">
        <v>157</v>
      </c>
      <c r="F45" t="s">
        <v>30</v>
      </c>
      <c r="G45">
        <v>14600</v>
      </c>
      <c r="H45">
        <v>0</v>
      </c>
      <c r="I45">
        <v>0</v>
      </c>
      <c r="J45" t="s">
        <v>519</v>
      </c>
      <c r="K45" t="s">
        <v>140</v>
      </c>
      <c r="L45" t="s">
        <v>140</v>
      </c>
      <c r="M45" t="s">
        <v>140</v>
      </c>
      <c r="N45" t="s">
        <v>100</v>
      </c>
      <c r="O45" t="s">
        <v>140</v>
      </c>
      <c r="P45" t="s">
        <v>140</v>
      </c>
    </row>
    <row r="46" spans="1:27" x14ac:dyDescent="0.35">
      <c r="C46" t="str">
        <f>CONCATENATE(EFs_Kühlmittel[[#This Row],[Thema]]," - ",EFs_Kühlmittel[[#This Row],[Bezeichnung]])</f>
        <v>Kühl_und_Kältemittel - HFC-32</v>
      </c>
      <c r="D46" s="2" t="str">
        <f t="shared" si="2"/>
        <v>Kühl_und_Kältemittel</v>
      </c>
      <c r="E46" t="s">
        <v>158</v>
      </c>
      <c r="F46" t="s">
        <v>30</v>
      </c>
      <c r="G46">
        <v>771</v>
      </c>
      <c r="H46">
        <v>0</v>
      </c>
      <c r="I46">
        <v>0</v>
      </c>
      <c r="J46" t="s">
        <v>519</v>
      </c>
      <c r="K46" t="s">
        <v>140</v>
      </c>
      <c r="L46" t="s">
        <v>140</v>
      </c>
      <c r="M46" t="s">
        <v>140</v>
      </c>
      <c r="N46" t="s">
        <v>100</v>
      </c>
      <c r="O46" t="s">
        <v>140</v>
      </c>
      <c r="P46" t="s">
        <v>140</v>
      </c>
    </row>
    <row r="47" spans="1:27" x14ac:dyDescent="0.35">
      <c r="C47" t="str">
        <f>CONCATENATE(EFs_Kühlmittel[[#This Row],[Thema]]," - ",EFs_Kühlmittel[[#This Row],[Bezeichnung]])</f>
        <v>Kühl_und_Kältemittel - HFO-1234yf</v>
      </c>
      <c r="D47" s="2" t="str">
        <f t="shared" si="2"/>
        <v>Kühl_und_Kältemittel</v>
      </c>
      <c r="E47" t="s">
        <v>159</v>
      </c>
      <c r="F47" t="s">
        <v>30</v>
      </c>
      <c r="G47">
        <v>0.501</v>
      </c>
      <c r="H47">
        <v>0</v>
      </c>
      <c r="I47">
        <v>0</v>
      </c>
      <c r="J47" t="s">
        <v>519</v>
      </c>
      <c r="K47" t="s">
        <v>140</v>
      </c>
      <c r="L47" t="s">
        <v>140</v>
      </c>
      <c r="M47" t="s">
        <v>140</v>
      </c>
      <c r="N47" t="s">
        <v>100</v>
      </c>
      <c r="O47" t="s">
        <v>140</v>
      </c>
      <c r="P47" t="s">
        <v>140</v>
      </c>
    </row>
    <row r="48" spans="1:27" x14ac:dyDescent="0.35">
      <c r="C48" t="str">
        <f>CONCATENATE(EFs_Kühlmittel[[#This Row],[Thema]]," - ",EFs_Kühlmittel[[#This Row],[Bezeichnung]])</f>
        <v>Kühl_und_Kältemittel - HFO-1234ze(Z)</v>
      </c>
      <c r="D48" s="2" t="str">
        <f t="shared" si="2"/>
        <v>Kühl_und_Kältemittel</v>
      </c>
      <c r="E48" t="s">
        <v>160</v>
      </c>
      <c r="F48" t="s">
        <v>30</v>
      </c>
      <c r="G48">
        <v>0.315</v>
      </c>
      <c r="H48">
        <v>0</v>
      </c>
      <c r="I48">
        <v>0</v>
      </c>
      <c r="J48" t="s">
        <v>519</v>
      </c>
      <c r="K48" t="s">
        <v>140</v>
      </c>
      <c r="L48" t="s">
        <v>140</v>
      </c>
      <c r="M48" t="s">
        <v>140</v>
      </c>
      <c r="N48" t="s">
        <v>100</v>
      </c>
      <c r="O48" t="s">
        <v>140</v>
      </c>
      <c r="P48" t="s">
        <v>140</v>
      </c>
    </row>
    <row r="49" spans="3:16" x14ac:dyDescent="0.35">
      <c r="C49" t="str">
        <f>CONCATENATE(EFs_Kühlmittel[[#This Row],[Thema]]," - ",EFs_Kühlmittel[[#This Row],[Bezeichnung]])</f>
        <v>Kühl_und_Kältemittel - PFC-116</v>
      </c>
      <c r="D49" s="2" t="str">
        <f t="shared" si="2"/>
        <v>Kühl_und_Kältemittel</v>
      </c>
      <c r="E49" t="s">
        <v>168</v>
      </c>
      <c r="F49" t="s">
        <v>30</v>
      </c>
      <c r="G49">
        <v>12400</v>
      </c>
      <c r="H49">
        <v>0</v>
      </c>
      <c r="I49">
        <v>0</v>
      </c>
      <c r="J49" t="s">
        <v>519</v>
      </c>
      <c r="K49" t="s">
        <v>140</v>
      </c>
      <c r="L49" t="s">
        <v>140</v>
      </c>
      <c r="M49" t="s">
        <v>140</v>
      </c>
      <c r="N49" t="s">
        <v>100</v>
      </c>
      <c r="O49" t="s">
        <v>140</v>
      </c>
      <c r="P49" t="s">
        <v>140</v>
      </c>
    </row>
    <row r="50" spans="3:16" x14ac:dyDescent="0.35">
      <c r="C50" t="str">
        <f>CONCATENATE(EFs_Kühlmittel[[#This Row],[Thema]]," - ",EFs_Kühlmittel[[#This Row],[Bezeichnung]])</f>
        <v>Kühl_und_Kältemittel - R1150 (Ethen)</v>
      </c>
      <c r="D50" s="2" t="str">
        <f t="shared" si="2"/>
        <v>Kühl_und_Kältemittel</v>
      </c>
      <c r="E50" t="s">
        <v>161</v>
      </c>
      <c r="F50" t="s">
        <v>30</v>
      </c>
      <c r="G50">
        <v>3.7</v>
      </c>
      <c r="H50">
        <v>0</v>
      </c>
      <c r="I50">
        <v>0</v>
      </c>
      <c r="J50" t="s">
        <v>520</v>
      </c>
      <c r="K50" t="s">
        <v>140</v>
      </c>
      <c r="L50" t="s">
        <v>140</v>
      </c>
      <c r="M50" t="s">
        <v>140</v>
      </c>
      <c r="N50" t="s">
        <v>100</v>
      </c>
      <c r="O50" t="s">
        <v>140</v>
      </c>
      <c r="P50" t="s">
        <v>140</v>
      </c>
    </row>
    <row r="51" spans="3:16" x14ac:dyDescent="0.35">
      <c r="C51" t="str">
        <f>CONCATENATE(EFs_Kühlmittel[[#This Row],[Thema]]," - ",EFs_Kühlmittel[[#This Row],[Bezeichnung]])</f>
        <v>Kühl_und_Kältemittel - R1270 (Propen)</v>
      </c>
      <c r="D51" s="2" t="str">
        <f t="shared" si="2"/>
        <v>Kühl_und_Kältemittel</v>
      </c>
      <c r="E51" t="s">
        <v>162</v>
      </c>
      <c r="F51" t="s">
        <v>30</v>
      </c>
      <c r="G51">
        <v>1</v>
      </c>
      <c r="H51">
        <v>0</v>
      </c>
      <c r="I51">
        <v>0</v>
      </c>
      <c r="J51" t="s">
        <v>520</v>
      </c>
      <c r="K51" t="s">
        <v>140</v>
      </c>
      <c r="L51" t="s">
        <v>140</v>
      </c>
      <c r="M51" t="s">
        <v>140</v>
      </c>
      <c r="N51" t="s">
        <v>100</v>
      </c>
      <c r="O51" t="s">
        <v>140</v>
      </c>
      <c r="P51" t="s">
        <v>140</v>
      </c>
    </row>
    <row r="52" spans="3:16" x14ac:dyDescent="0.35">
      <c r="C52" t="str">
        <f>CONCATENATE(EFs_Kühlmittel[[#This Row],[Thema]]," - ",EFs_Kühlmittel[[#This Row],[Bezeichnung]])</f>
        <v>Kühl_und_Kältemittel - R170 (Ethan)</v>
      </c>
      <c r="D52" s="2" t="str">
        <f t="shared" si="2"/>
        <v>Kühl_und_Kältemittel</v>
      </c>
      <c r="E52" t="s">
        <v>163</v>
      </c>
      <c r="F52" t="s">
        <v>30</v>
      </c>
      <c r="G52">
        <v>0.437</v>
      </c>
      <c r="H52">
        <v>0</v>
      </c>
      <c r="I52">
        <v>0</v>
      </c>
      <c r="J52" t="s">
        <v>519</v>
      </c>
      <c r="K52" t="s">
        <v>140</v>
      </c>
      <c r="L52" t="s">
        <v>140</v>
      </c>
      <c r="M52" t="s">
        <v>140</v>
      </c>
      <c r="N52" t="s">
        <v>100</v>
      </c>
      <c r="O52" t="s">
        <v>140</v>
      </c>
      <c r="P52" t="s">
        <v>140</v>
      </c>
    </row>
    <row r="53" spans="3:16" x14ac:dyDescent="0.35">
      <c r="C53" t="str">
        <f>CONCATENATE(EFs_Kühlmittel[[#This Row],[Thema]]," - ",EFs_Kühlmittel[[#This Row],[Bezeichnung]])</f>
        <v>Kühl_und_Kältemittel - R290 (Propan)</v>
      </c>
      <c r="D53" s="2" t="str">
        <f t="shared" si="2"/>
        <v>Kühl_und_Kältemittel</v>
      </c>
      <c r="E53" t="s">
        <v>164</v>
      </c>
      <c r="F53" t="s">
        <v>30</v>
      </c>
      <c r="G53">
        <v>0.02</v>
      </c>
      <c r="H53">
        <v>0</v>
      </c>
      <c r="I53">
        <v>0</v>
      </c>
      <c r="J53" t="s">
        <v>519</v>
      </c>
      <c r="K53" t="s">
        <v>140</v>
      </c>
      <c r="L53" t="s">
        <v>140</v>
      </c>
      <c r="M53" t="s">
        <v>140</v>
      </c>
      <c r="N53" t="s">
        <v>100</v>
      </c>
      <c r="O53" t="s">
        <v>140</v>
      </c>
      <c r="P53" t="s">
        <v>140</v>
      </c>
    </row>
    <row r="54" spans="3:16" x14ac:dyDescent="0.35">
      <c r="C54" t="str">
        <f>CONCATENATE(EFs_Kühlmittel[[#This Row],[Thema]]," - ",EFs_Kühlmittel[[#This Row],[Bezeichnung]])</f>
        <v>Kühl_und_Kältemittel - R401A</v>
      </c>
      <c r="D54" s="2" t="str">
        <f t="shared" si="2"/>
        <v>Kühl_und_Kältemittel</v>
      </c>
      <c r="E54" t="s">
        <v>169</v>
      </c>
      <c r="F54" t="s">
        <v>30</v>
      </c>
      <c r="G54">
        <v>1263</v>
      </c>
      <c r="H54">
        <v>0</v>
      </c>
      <c r="I54">
        <v>0</v>
      </c>
      <c r="J54" t="s">
        <v>521</v>
      </c>
      <c r="K54" t="s">
        <v>140</v>
      </c>
      <c r="L54" t="s">
        <v>140</v>
      </c>
      <c r="M54" t="s">
        <v>140</v>
      </c>
      <c r="N54" t="s">
        <v>100</v>
      </c>
      <c r="O54" t="s">
        <v>140</v>
      </c>
      <c r="P54" t="s">
        <v>140</v>
      </c>
    </row>
    <row r="55" spans="3:16" x14ac:dyDescent="0.35">
      <c r="C55" t="str">
        <f>CONCATENATE(EFs_Kühlmittel[[#This Row],[Thema]]," - ",EFs_Kühlmittel[[#This Row],[Bezeichnung]])</f>
        <v>Kühl_und_Kältemittel - R401B</v>
      </c>
      <c r="D55" s="2" t="str">
        <f t="shared" si="2"/>
        <v>Kühl_und_Kältemittel</v>
      </c>
      <c r="E55" t="s">
        <v>170</v>
      </c>
      <c r="F55" t="s">
        <v>30</v>
      </c>
      <c r="G55">
        <v>1381</v>
      </c>
      <c r="H55">
        <v>0</v>
      </c>
      <c r="I55">
        <v>0</v>
      </c>
      <c r="J55" t="s">
        <v>521</v>
      </c>
      <c r="K55" t="s">
        <v>140</v>
      </c>
      <c r="L55" t="s">
        <v>140</v>
      </c>
      <c r="M55" t="s">
        <v>140</v>
      </c>
      <c r="N55" t="s">
        <v>100</v>
      </c>
      <c r="O55" t="s">
        <v>140</v>
      </c>
      <c r="P55" t="s">
        <v>140</v>
      </c>
    </row>
    <row r="56" spans="3:16" x14ac:dyDescent="0.35">
      <c r="C56" t="str">
        <f>CONCATENATE(EFs_Kühlmittel[[#This Row],[Thema]]," - ",EFs_Kühlmittel[[#This Row],[Bezeichnung]])</f>
        <v>Kühl_und_Kältemittel - R402A</v>
      </c>
      <c r="D56" s="2" t="str">
        <f t="shared" si="2"/>
        <v>Kühl_und_Kältemittel</v>
      </c>
      <c r="E56" t="s">
        <v>171</v>
      </c>
      <c r="F56" t="s">
        <v>30</v>
      </c>
      <c r="G56">
        <v>2989</v>
      </c>
      <c r="H56">
        <v>0</v>
      </c>
      <c r="I56">
        <v>0</v>
      </c>
      <c r="J56" t="s">
        <v>521</v>
      </c>
      <c r="K56" t="s">
        <v>140</v>
      </c>
      <c r="L56" t="s">
        <v>140</v>
      </c>
      <c r="M56" t="s">
        <v>140</v>
      </c>
      <c r="N56" t="s">
        <v>100</v>
      </c>
      <c r="O56" t="s">
        <v>140</v>
      </c>
      <c r="P56" t="s">
        <v>140</v>
      </c>
    </row>
    <row r="57" spans="3:16" x14ac:dyDescent="0.35">
      <c r="C57" t="str">
        <f>CONCATENATE(EFs_Kühlmittel[[#This Row],[Thema]]," - ",EFs_Kühlmittel[[#This Row],[Bezeichnung]])</f>
        <v>Kühl_und_Kältemittel - R402B</v>
      </c>
      <c r="D57" s="2" t="str">
        <f t="shared" si="2"/>
        <v>Kühl_und_Kältemittel</v>
      </c>
      <c r="E57" t="s">
        <v>172</v>
      </c>
      <c r="F57" t="s">
        <v>30</v>
      </c>
      <c r="G57">
        <v>2597</v>
      </c>
      <c r="H57">
        <v>0</v>
      </c>
      <c r="I57">
        <v>0</v>
      </c>
      <c r="J57" t="s">
        <v>521</v>
      </c>
      <c r="K57" t="s">
        <v>140</v>
      </c>
      <c r="L57" t="s">
        <v>140</v>
      </c>
      <c r="M57" t="s">
        <v>140</v>
      </c>
      <c r="N57" t="s">
        <v>100</v>
      </c>
      <c r="O57" t="s">
        <v>140</v>
      </c>
      <c r="P57" t="s">
        <v>140</v>
      </c>
    </row>
    <row r="58" spans="3:16" x14ac:dyDescent="0.35">
      <c r="C58" t="str">
        <f>CONCATENATE(EFs_Kühlmittel[[#This Row],[Thema]]," - ",EFs_Kühlmittel[[#This Row],[Bezeichnung]])</f>
        <v>Kühl_und_Kältemittel - R404A</v>
      </c>
      <c r="D58" s="2" t="str">
        <f t="shared" si="2"/>
        <v>Kühl_und_Kältemittel</v>
      </c>
      <c r="E58" t="s">
        <v>173</v>
      </c>
      <c r="F58" t="s">
        <v>30</v>
      </c>
      <c r="G58">
        <v>4728</v>
      </c>
      <c r="H58">
        <v>0</v>
      </c>
      <c r="I58">
        <v>0</v>
      </c>
      <c r="J58" t="s">
        <v>521</v>
      </c>
      <c r="K58" t="s">
        <v>140</v>
      </c>
      <c r="L58" t="s">
        <v>140</v>
      </c>
      <c r="M58" t="s">
        <v>140</v>
      </c>
      <c r="N58" t="s">
        <v>100</v>
      </c>
      <c r="O58" t="s">
        <v>140</v>
      </c>
      <c r="P58" t="s">
        <v>140</v>
      </c>
    </row>
    <row r="59" spans="3:16" x14ac:dyDescent="0.35">
      <c r="C59" t="str">
        <f>CONCATENATE(EFs_Kühlmittel[[#This Row],[Thema]]," - ",EFs_Kühlmittel[[#This Row],[Bezeichnung]])</f>
        <v>Kühl_und_Kältemittel - R407A</v>
      </c>
      <c r="D59" s="2" t="str">
        <f t="shared" si="2"/>
        <v>Kühl_und_Kältemittel</v>
      </c>
      <c r="E59" t="s">
        <v>174</v>
      </c>
      <c r="F59" t="s">
        <v>30</v>
      </c>
      <c r="G59">
        <v>2262</v>
      </c>
      <c r="H59">
        <v>0</v>
      </c>
      <c r="I59">
        <v>0</v>
      </c>
      <c r="J59" t="s">
        <v>521</v>
      </c>
      <c r="K59" t="s">
        <v>140</v>
      </c>
      <c r="L59" t="s">
        <v>140</v>
      </c>
      <c r="M59" t="s">
        <v>140</v>
      </c>
      <c r="N59" t="s">
        <v>100</v>
      </c>
      <c r="O59" t="s">
        <v>140</v>
      </c>
      <c r="P59" t="s">
        <v>140</v>
      </c>
    </row>
    <row r="60" spans="3:16" x14ac:dyDescent="0.35">
      <c r="C60" t="str">
        <f>CONCATENATE(EFs_Kühlmittel[[#This Row],[Thema]]," - ",EFs_Kühlmittel[[#This Row],[Bezeichnung]])</f>
        <v>Kühl_und_Kältemittel - R407C</v>
      </c>
      <c r="D60" s="2" t="str">
        <f t="shared" si="2"/>
        <v>Kühl_und_Kältemittel</v>
      </c>
      <c r="E60" t="s">
        <v>175</v>
      </c>
      <c r="F60" t="s">
        <v>30</v>
      </c>
      <c r="G60">
        <v>1908</v>
      </c>
      <c r="H60">
        <v>0</v>
      </c>
      <c r="I60">
        <v>0</v>
      </c>
      <c r="J60" t="s">
        <v>521</v>
      </c>
      <c r="K60" t="s">
        <v>140</v>
      </c>
      <c r="L60" t="s">
        <v>140</v>
      </c>
      <c r="M60" t="s">
        <v>140</v>
      </c>
      <c r="N60" t="s">
        <v>100</v>
      </c>
      <c r="O60" t="s">
        <v>140</v>
      </c>
      <c r="P60" t="s">
        <v>140</v>
      </c>
    </row>
    <row r="61" spans="3:16" x14ac:dyDescent="0.35">
      <c r="C61" t="str">
        <f>CONCATENATE(EFs_Kühlmittel[[#This Row],[Thema]]," - ",EFs_Kühlmittel[[#This Row],[Bezeichnung]])</f>
        <v>Kühl_und_Kältemittel - R407F</v>
      </c>
      <c r="D61" s="2" t="str">
        <f t="shared" si="2"/>
        <v>Kühl_und_Kältemittel</v>
      </c>
      <c r="E61" t="s">
        <v>176</v>
      </c>
      <c r="F61" t="s">
        <v>30</v>
      </c>
      <c r="G61">
        <v>1965</v>
      </c>
      <c r="H61">
        <v>0</v>
      </c>
      <c r="I61">
        <v>0</v>
      </c>
      <c r="J61" t="s">
        <v>521</v>
      </c>
      <c r="K61" t="s">
        <v>140</v>
      </c>
      <c r="L61" t="s">
        <v>140</v>
      </c>
      <c r="M61" t="s">
        <v>140</v>
      </c>
      <c r="N61" t="s">
        <v>100</v>
      </c>
      <c r="O61" t="s">
        <v>140</v>
      </c>
      <c r="P61" t="s">
        <v>140</v>
      </c>
    </row>
    <row r="62" spans="3:16" x14ac:dyDescent="0.35">
      <c r="C62" t="str">
        <f>CONCATENATE(EFs_Kühlmittel[[#This Row],[Thema]]," - ",EFs_Kühlmittel[[#This Row],[Bezeichnung]])</f>
        <v>Kühl_und_Kältemittel - R408A</v>
      </c>
      <c r="D62" s="2" t="str">
        <f t="shared" si="2"/>
        <v>Kühl_und_Kältemittel</v>
      </c>
      <c r="E62" t="s">
        <v>177</v>
      </c>
      <c r="F62" t="s">
        <v>30</v>
      </c>
      <c r="G62">
        <v>3855</v>
      </c>
      <c r="H62">
        <v>0</v>
      </c>
      <c r="I62">
        <v>0</v>
      </c>
      <c r="J62" t="s">
        <v>521</v>
      </c>
      <c r="K62" t="s">
        <v>140</v>
      </c>
      <c r="L62" t="s">
        <v>140</v>
      </c>
      <c r="M62" t="s">
        <v>140</v>
      </c>
      <c r="N62" t="s">
        <v>100</v>
      </c>
      <c r="O62" t="s">
        <v>140</v>
      </c>
      <c r="P62" t="s">
        <v>140</v>
      </c>
    </row>
    <row r="63" spans="3:16" x14ac:dyDescent="0.35">
      <c r="C63" t="str">
        <f>CONCATENATE(EFs_Kühlmittel[[#This Row],[Thema]]," - ",EFs_Kühlmittel[[#This Row],[Bezeichnung]])</f>
        <v>Kühl_und_Kältemittel - R409A</v>
      </c>
      <c r="D63" s="2" t="str">
        <f t="shared" si="2"/>
        <v>Kühl_und_Kältemittel</v>
      </c>
      <c r="E63" t="s">
        <v>178</v>
      </c>
      <c r="F63" t="s">
        <v>30</v>
      </c>
      <c r="G63">
        <v>1670</v>
      </c>
      <c r="H63">
        <v>0</v>
      </c>
      <c r="I63">
        <v>0</v>
      </c>
      <c r="J63" t="s">
        <v>521</v>
      </c>
      <c r="K63" t="s">
        <v>140</v>
      </c>
      <c r="L63" t="s">
        <v>140</v>
      </c>
      <c r="M63" t="s">
        <v>140</v>
      </c>
      <c r="N63" t="s">
        <v>100</v>
      </c>
      <c r="O63" t="s">
        <v>140</v>
      </c>
      <c r="P63" t="s">
        <v>140</v>
      </c>
    </row>
    <row r="64" spans="3:16" x14ac:dyDescent="0.35">
      <c r="C64" t="str">
        <f>CONCATENATE(EFs_Kühlmittel[[#This Row],[Thema]]," - ",EFs_Kühlmittel[[#This Row],[Bezeichnung]])</f>
        <v>Kühl_und_Kältemittel - R410A</v>
      </c>
      <c r="D64" s="2" t="str">
        <f t="shared" si="2"/>
        <v>Kühl_und_Kältemittel</v>
      </c>
      <c r="E64" t="s">
        <v>179</v>
      </c>
      <c r="F64" t="s">
        <v>30</v>
      </c>
      <c r="G64">
        <v>2256</v>
      </c>
      <c r="H64">
        <v>0</v>
      </c>
      <c r="I64">
        <v>0</v>
      </c>
      <c r="J64" t="s">
        <v>521</v>
      </c>
      <c r="K64" t="s">
        <v>140</v>
      </c>
      <c r="L64" t="s">
        <v>140</v>
      </c>
      <c r="M64" t="s">
        <v>140</v>
      </c>
      <c r="N64" t="s">
        <v>100</v>
      </c>
      <c r="O64" t="s">
        <v>140</v>
      </c>
      <c r="P64" t="s">
        <v>140</v>
      </c>
    </row>
    <row r="65" spans="3:16" x14ac:dyDescent="0.35">
      <c r="C65" t="str">
        <f>CONCATENATE(EFs_Kühlmittel[[#This Row],[Thema]]," - ",EFs_Kühlmittel[[#This Row],[Bezeichnung]])</f>
        <v>Kühl_und_Kältemittel - R417A</v>
      </c>
      <c r="D65" s="2" t="str">
        <f t="shared" si="2"/>
        <v>Kühl_und_Kältemittel</v>
      </c>
      <c r="E65" t="s">
        <v>180</v>
      </c>
      <c r="F65" t="s">
        <v>30</v>
      </c>
      <c r="G65">
        <v>2508</v>
      </c>
      <c r="H65">
        <v>0</v>
      </c>
      <c r="I65">
        <v>0</v>
      </c>
      <c r="J65" t="s">
        <v>521</v>
      </c>
      <c r="K65" t="s">
        <v>140</v>
      </c>
      <c r="L65" t="s">
        <v>140</v>
      </c>
      <c r="M65" t="s">
        <v>140</v>
      </c>
      <c r="N65" t="s">
        <v>100</v>
      </c>
      <c r="O65" t="s">
        <v>140</v>
      </c>
      <c r="P65" t="s">
        <v>140</v>
      </c>
    </row>
    <row r="66" spans="3:16" x14ac:dyDescent="0.35">
      <c r="C66" t="str">
        <f>CONCATENATE(EFs_Kühlmittel[[#This Row],[Thema]]," - ",EFs_Kühlmittel[[#This Row],[Bezeichnung]])</f>
        <v>Kühl_und_Kältemittel - R422A</v>
      </c>
      <c r="D66" s="2" t="str">
        <f t="shared" si="2"/>
        <v>Kühl_und_Kältemittel</v>
      </c>
      <c r="E66" t="s">
        <v>181</v>
      </c>
      <c r="F66" t="s">
        <v>30</v>
      </c>
      <c r="G66">
        <v>3359</v>
      </c>
      <c r="H66">
        <v>0</v>
      </c>
      <c r="I66">
        <v>0</v>
      </c>
      <c r="J66" t="s">
        <v>521</v>
      </c>
      <c r="K66" t="s">
        <v>140</v>
      </c>
      <c r="L66" t="s">
        <v>140</v>
      </c>
      <c r="M66" t="s">
        <v>140</v>
      </c>
      <c r="N66" t="s">
        <v>100</v>
      </c>
      <c r="O66" t="s">
        <v>140</v>
      </c>
      <c r="P66" t="s">
        <v>140</v>
      </c>
    </row>
    <row r="67" spans="3:16" x14ac:dyDescent="0.35">
      <c r="C67" t="str">
        <f>CONCATENATE(EFs_Kühlmittel[[#This Row],[Thema]]," - ",EFs_Kühlmittel[[#This Row],[Bezeichnung]])</f>
        <v>Kühl_und_Kältemittel - R422D</v>
      </c>
      <c r="D67" s="2" t="str">
        <f t="shared" si="2"/>
        <v>Kühl_und_Kältemittel</v>
      </c>
      <c r="E67" t="s">
        <v>182</v>
      </c>
      <c r="F67" t="s">
        <v>30</v>
      </c>
      <c r="G67">
        <v>2917</v>
      </c>
      <c r="H67">
        <v>0</v>
      </c>
      <c r="I67">
        <v>0</v>
      </c>
      <c r="J67" t="s">
        <v>521</v>
      </c>
      <c r="K67" t="s">
        <v>140</v>
      </c>
      <c r="L67" t="s">
        <v>140</v>
      </c>
      <c r="M67" t="s">
        <v>140</v>
      </c>
      <c r="N67" t="s">
        <v>100</v>
      </c>
      <c r="O67" t="s">
        <v>140</v>
      </c>
      <c r="P67" t="s">
        <v>140</v>
      </c>
    </row>
    <row r="68" spans="3:16" x14ac:dyDescent="0.35">
      <c r="C68" t="str">
        <f>CONCATENATE(EFs_Kühlmittel[[#This Row],[Thema]]," - ",EFs_Kühlmittel[[#This Row],[Bezeichnung]])</f>
        <v>Kühl_und_Kältemittel - R423A</v>
      </c>
      <c r="D68" s="2" t="str">
        <f t="shared" si="2"/>
        <v>Kühl_und_Kältemittel</v>
      </c>
      <c r="E68" t="s">
        <v>183</v>
      </c>
      <c r="F68" t="s">
        <v>30</v>
      </c>
      <c r="G68">
        <v>2513</v>
      </c>
      <c r="H68">
        <v>0</v>
      </c>
      <c r="I68">
        <v>0</v>
      </c>
      <c r="J68" t="s">
        <v>521</v>
      </c>
      <c r="K68" t="s">
        <v>140</v>
      </c>
      <c r="L68" t="s">
        <v>140</v>
      </c>
      <c r="M68" t="s">
        <v>140</v>
      </c>
      <c r="N68" t="s">
        <v>100</v>
      </c>
      <c r="O68" t="s">
        <v>140</v>
      </c>
      <c r="P68" t="s">
        <v>140</v>
      </c>
    </row>
    <row r="69" spans="3:16" x14ac:dyDescent="0.35">
      <c r="C69" t="str">
        <f>CONCATENATE(EFs_Kühlmittel[[#This Row],[Thema]]," - ",EFs_Kühlmittel[[#This Row],[Bezeichnung]])</f>
        <v>Kühl_und_Kältemittel - R424A</v>
      </c>
      <c r="D69" s="2" t="str">
        <f t="shared" si="2"/>
        <v>Kühl_und_Kältemittel</v>
      </c>
      <c r="E69" t="s">
        <v>184</v>
      </c>
      <c r="F69" t="s">
        <v>30</v>
      </c>
      <c r="G69">
        <v>2608</v>
      </c>
      <c r="H69">
        <v>0</v>
      </c>
      <c r="I69">
        <v>0</v>
      </c>
      <c r="J69" t="s">
        <v>521</v>
      </c>
      <c r="K69" t="s">
        <v>140</v>
      </c>
      <c r="L69" t="s">
        <v>140</v>
      </c>
      <c r="M69" t="s">
        <v>140</v>
      </c>
      <c r="N69" t="s">
        <v>100</v>
      </c>
      <c r="O69" t="s">
        <v>140</v>
      </c>
      <c r="P69" t="s">
        <v>140</v>
      </c>
    </row>
    <row r="70" spans="3:16" x14ac:dyDescent="0.35">
      <c r="C70" t="str">
        <f>CONCATENATE(EFs_Kühlmittel[[#This Row],[Thema]]," - ",EFs_Kühlmittel[[#This Row],[Bezeichnung]])</f>
        <v>Kühl_und_Kältemittel - R427A</v>
      </c>
      <c r="D70" s="2" t="str">
        <f t="shared" ref="D70:D86" si="3">"Kühl_und_Kältemittel"</f>
        <v>Kühl_und_Kältemittel</v>
      </c>
      <c r="E70" t="s">
        <v>185</v>
      </c>
      <c r="F70" t="s">
        <v>30</v>
      </c>
      <c r="G70">
        <v>2397</v>
      </c>
      <c r="H70">
        <v>0</v>
      </c>
      <c r="I70">
        <v>0</v>
      </c>
      <c r="J70" t="s">
        <v>521</v>
      </c>
      <c r="K70" t="s">
        <v>140</v>
      </c>
      <c r="L70" t="s">
        <v>140</v>
      </c>
      <c r="M70" t="s">
        <v>140</v>
      </c>
      <c r="N70" t="s">
        <v>100</v>
      </c>
      <c r="O70" t="s">
        <v>140</v>
      </c>
      <c r="P70" t="s">
        <v>140</v>
      </c>
    </row>
    <row r="71" spans="3:16" x14ac:dyDescent="0.35">
      <c r="C71" t="str">
        <f>CONCATENATE(EFs_Kühlmittel[[#This Row],[Thema]]," - ",EFs_Kühlmittel[[#This Row],[Bezeichnung]])</f>
        <v>Kühl_und_Kältemittel - R428A</v>
      </c>
      <c r="D71" s="2" t="str">
        <f t="shared" si="3"/>
        <v>Kühl_und_Kältemittel</v>
      </c>
      <c r="E71" t="s">
        <v>186</v>
      </c>
      <c r="F71" t="s">
        <v>30</v>
      </c>
      <c r="G71">
        <v>4061</v>
      </c>
      <c r="H71">
        <v>0</v>
      </c>
      <c r="I71">
        <v>0</v>
      </c>
      <c r="J71" t="s">
        <v>521</v>
      </c>
      <c r="K71" t="s">
        <v>140</v>
      </c>
      <c r="L71" t="s">
        <v>140</v>
      </c>
      <c r="M71" t="s">
        <v>140</v>
      </c>
      <c r="N71" t="s">
        <v>100</v>
      </c>
      <c r="O71" t="s">
        <v>140</v>
      </c>
      <c r="P71" t="s">
        <v>140</v>
      </c>
    </row>
    <row r="72" spans="3:16" x14ac:dyDescent="0.35">
      <c r="C72" t="str">
        <f>CONCATENATE(EFs_Kühlmittel[[#This Row],[Thema]]," - ",EFs_Kühlmittel[[#This Row],[Bezeichnung]])</f>
        <v>Kühl_und_Kältemittel - R434A</v>
      </c>
      <c r="D72" s="2" t="str">
        <f t="shared" si="3"/>
        <v>Kühl_und_Kältemittel</v>
      </c>
      <c r="E72" t="s">
        <v>187</v>
      </c>
      <c r="F72" t="s">
        <v>30</v>
      </c>
      <c r="G72">
        <v>3654</v>
      </c>
      <c r="H72">
        <v>0</v>
      </c>
      <c r="I72">
        <v>0</v>
      </c>
      <c r="J72" t="s">
        <v>521</v>
      </c>
      <c r="K72" t="s">
        <v>140</v>
      </c>
      <c r="L72" t="s">
        <v>140</v>
      </c>
      <c r="M72" t="s">
        <v>140</v>
      </c>
      <c r="N72" t="s">
        <v>100</v>
      </c>
      <c r="O72" t="s">
        <v>140</v>
      </c>
      <c r="P72" t="s">
        <v>140</v>
      </c>
    </row>
    <row r="73" spans="3:16" x14ac:dyDescent="0.35">
      <c r="C73" t="str">
        <f>CONCATENATE(EFs_Kühlmittel[[#This Row],[Thema]]," - ",EFs_Kühlmittel[[#This Row],[Bezeichnung]])</f>
        <v>Kühl_und_Kältemittel - R437A</v>
      </c>
      <c r="D73" s="2" t="str">
        <f t="shared" si="3"/>
        <v>Kühl_und_Kältemittel</v>
      </c>
      <c r="E73" t="s">
        <v>188</v>
      </c>
      <c r="F73" t="s">
        <v>30</v>
      </c>
      <c r="G73">
        <v>1930</v>
      </c>
      <c r="H73">
        <v>0</v>
      </c>
      <c r="I73">
        <v>0</v>
      </c>
      <c r="J73" t="s">
        <v>521</v>
      </c>
      <c r="K73" t="s">
        <v>140</v>
      </c>
      <c r="L73" t="s">
        <v>140</v>
      </c>
      <c r="M73" t="s">
        <v>140</v>
      </c>
      <c r="N73" t="s">
        <v>100</v>
      </c>
      <c r="O73" t="s">
        <v>140</v>
      </c>
      <c r="P73" t="s">
        <v>140</v>
      </c>
    </row>
    <row r="74" spans="3:16" x14ac:dyDescent="0.35">
      <c r="C74" t="str">
        <f>CONCATENATE(EFs_Kühlmittel[[#This Row],[Thema]]," - ",EFs_Kühlmittel[[#This Row],[Bezeichnung]])</f>
        <v>Kühl_und_Kältemittel - R438A</v>
      </c>
      <c r="D74" s="2" t="str">
        <f t="shared" si="3"/>
        <v>Kühl_und_Kältemittel</v>
      </c>
      <c r="E74" t="s">
        <v>189</v>
      </c>
      <c r="F74" t="s">
        <v>30</v>
      </c>
      <c r="G74">
        <v>2425</v>
      </c>
      <c r="H74">
        <v>0</v>
      </c>
      <c r="I74">
        <v>0</v>
      </c>
      <c r="J74" t="s">
        <v>521</v>
      </c>
      <c r="K74" t="s">
        <v>140</v>
      </c>
      <c r="L74" t="s">
        <v>140</v>
      </c>
      <c r="M74" t="s">
        <v>140</v>
      </c>
      <c r="N74" t="s">
        <v>100</v>
      </c>
      <c r="O74" t="s">
        <v>140</v>
      </c>
      <c r="P74" t="s">
        <v>140</v>
      </c>
    </row>
    <row r="75" spans="3:16" x14ac:dyDescent="0.35">
      <c r="C75" t="str">
        <f>CONCATENATE(EFs_Kühlmittel[[#This Row],[Thema]]," - ",EFs_Kühlmittel[[#This Row],[Bezeichnung]])</f>
        <v>Kühl_und_Kältemittel - R442A</v>
      </c>
      <c r="D75" s="2" t="str">
        <f t="shared" si="3"/>
        <v>Kühl_und_Kältemittel</v>
      </c>
      <c r="E75" t="s">
        <v>190</v>
      </c>
      <c r="F75" t="s">
        <v>30</v>
      </c>
      <c r="G75">
        <v>2042</v>
      </c>
      <c r="H75">
        <v>0</v>
      </c>
      <c r="I75">
        <v>0</v>
      </c>
      <c r="J75" t="s">
        <v>521</v>
      </c>
      <c r="K75" t="s">
        <v>140</v>
      </c>
      <c r="L75" t="s">
        <v>140</v>
      </c>
      <c r="M75" t="s">
        <v>140</v>
      </c>
      <c r="N75" t="s">
        <v>100</v>
      </c>
      <c r="O75" t="s">
        <v>140</v>
      </c>
      <c r="P75" t="s">
        <v>140</v>
      </c>
    </row>
    <row r="76" spans="3:16" x14ac:dyDescent="0.35">
      <c r="C76" t="str">
        <f>CONCATENATE(EFs_Kühlmittel[[#This Row],[Thema]]," - ",EFs_Kühlmittel[[#This Row],[Bezeichnung]])</f>
        <v>Kühl_und_Kältemittel - R502</v>
      </c>
      <c r="D76" s="2" t="str">
        <f t="shared" si="3"/>
        <v>Kühl_und_Kältemittel</v>
      </c>
      <c r="E76" t="s">
        <v>191</v>
      </c>
      <c r="F76" t="s">
        <v>30</v>
      </c>
      <c r="G76">
        <v>5871</v>
      </c>
      <c r="H76">
        <v>0</v>
      </c>
      <c r="I76">
        <v>0</v>
      </c>
      <c r="J76" t="s">
        <v>521</v>
      </c>
      <c r="K76" t="s">
        <v>140</v>
      </c>
      <c r="L76" t="s">
        <v>140</v>
      </c>
      <c r="M76" t="s">
        <v>140</v>
      </c>
      <c r="N76" t="s">
        <v>100</v>
      </c>
      <c r="O76" t="s">
        <v>140</v>
      </c>
      <c r="P76" t="s">
        <v>140</v>
      </c>
    </row>
    <row r="77" spans="3:16" x14ac:dyDescent="0.35">
      <c r="C77" t="str">
        <f>CONCATENATE(EFs_Kühlmittel[[#This Row],[Thema]]," - ",EFs_Kühlmittel[[#This Row],[Bezeichnung]])</f>
        <v>Kühl_und_Kältemittel - R507A / R507</v>
      </c>
      <c r="D77" s="2" t="str">
        <f t="shared" si="3"/>
        <v>Kühl_und_Kältemittel</v>
      </c>
      <c r="E77" t="s">
        <v>192</v>
      </c>
      <c r="F77" t="s">
        <v>30</v>
      </c>
      <c r="G77">
        <v>4775</v>
      </c>
      <c r="H77">
        <v>0</v>
      </c>
      <c r="I77">
        <v>0</v>
      </c>
      <c r="J77" t="s">
        <v>521</v>
      </c>
      <c r="K77" t="s">
        <v>140</v>
      </c>
      <c r="L77" t="s">
        <v>140</v>
      </c>
      <c r="M77" t="s">
        <v>140</v>
      </c>
      <c r="N77" t="s">
        <v>100</v>
      </c>
      <c r="O77" t="s">
        <v>140</v>
      </c>
      <c r="P77" t="s">
        <v>140</v>
      </c>
    </row>
    <row r="78" spans="3:16" x14ac:dyDescent="0.35">
      <c r="C78" t="str">
        <f>CONCATENATE(EFs_Kühlmittel[[#This Row],[Thema]]," - ",EFs_Kühlmittel[[#This Row],[Bezeichnung]])</f>
        <v>Kühl_und_Kältemittel - R508B</v>
      </c>
      <c r="D78" s="2" t="str">
        <f t="shared" si="3"/>
        <v>Kühl_und_Kältemittel</v>
      </c>
      <c r="E78" t="s">
        <v>193</v>
      </c>
      <c r="F78" t="s">
        <v>30</v>
      </c>
      <c r="G78">
        <v>13412</v>
      </c>
      <c r="H78">
        <v>0</v>
      </c>
      <c r="I78">
        <v>0</v>
      </c>
      <c r="J78" t="s">
        <v>521</v>
      </c>
      <c r="K78" t="s">
        <v>140</v>
      </c>
      <c r="L78" t="s">
        <v>140</v>
      </c>
      <c r="M78" t="s">
        <v>140</v>
      </c>
      <c r="N78" t="s">
        <v>100</v>
      </c>
      <c r="O78" t="s">
        <v>140</v>
      </c>
      <c r="P78" t="s">
        <v>140</v>
      </c>
    </row>
    <row r="79" spans="3:16" x14ac:dyDescent="0.35">
      <c r="C79" t="str">
        <f>CONCATENATE(EFs_Kühlmittel[[#This Row],[Thema]]," - ",EFs_Kühlmittel[[#This Row],[Bezeichnung]])</f>
        <v>Kühl_und_Kältemittel - R600a (Isobutan)</v>
      </c>
      <c r="D79" s="2" t="str">
        <f t="shared" si="3"/>
        <v>Kühl_und_Kältemittel</v>
      </c>
      <c r="E79" t="s">
        <v>165</v>
      </c>
      <c r="F79" t="s">
        <v>30</v>
      </c>
      <c r="G79">
        <v>1</v>
      </c>
      <c r="H79">
        <v>0</v>
      </c>
      <c r="I79">
        <v>0</v>
      </c>
      <c r="J79" t="s">
        <v>520</v>
      </c>
      <c r="K79" t="s">
        <v>140</v>
      </c>
      <c r="L79" t="s">
        <v>140</v>
      </c>
      <c r="M79" t="s">
        <v>140</v>
      </c>
      <c r="N79" t="s">
        <v>100</v>
      </c>
      <c r="O79" t="s">
        <v>140</v>
      </c>
      <c r="P79" t="s">
        <v>140</v>
      </c>
    </row>
    <row r="80" spans="3:16" x14ac:dyDescent="0.35">
      <c r="C80" t="str">
        <f>CONCATENATE(EFs_Kühlmittel[[#This Row],[Thema]]," - ",EFs_Kühlmittel[[#This Row],[Bezeichnung]])</f>
        <v>Kühl_und_Kältemittel - R717 (Ammoniak)</v>
      </c>
      <c r="D80" s="2" t="str">
        <f t="shared" si="3"/>
        <v>Kühl_und_Kältemittel</v>
      </c>
      <c r="E80" t="s">
        <v>166</v>
      </c>
      <c r="F80" t="s">
        <v>30</v>
      </c>
      <c r="G80">
        <v>0</v>
      </c>
      <c r="H80">
        <v>0</v>
      </c>
      <c r="I80">
        <v>0</v>
      </c>
      <c r="J80" t="s">
        <v>520</v>
      </c>
      <c r="K80" t="s">
        <v>140</v>
      </c>
      <c r="L80" t="s">
        <v>140</v>
      </c>
      <c r="M80" t="s">
        <v>140</v>
      </c>
      <c r="N80" t="s">
        <v>100</v>
      </c>
      <c r="O80" t="s">
        <v>140</v>
      </c>
      <c r="P80" t="s">
        <v>140</v>
      </c>
    </row>
    <row r="81" spans="1:25" x14ac:dyDescent="0.35">
      <c r="C81" t="str">
        <f>CONCATENATE(EFs_Kühlmittel[[#This Row],[Thema]]," - ",EFs_Kühlmittel[[#This Row],[Bezeichnung]])</f>
        <v>Kühl_und_Kältemittel - R744 (Kohlenstoffdioxid)</v>
      </c>
      <c r="D81" s="2" t="str">
        <f t="shared" si="3"/>
        <v>Kühl_und_Kältemittel</v>
      </c>
      <c r="E81" t="s">
        <v>167</v>
      </c>
      <c r="F81" t="s">
        <v>30</v>
      </c>
      <c r="G81">
        <v>1</v>
      </c>
      <c r="H81">
        <v>0</v>
      </c>
      <c r="I81">
        <v>0</v>
      </c>
      <c r="J81" t="s">
        <v>522</v>
      </c>
      <c r="K81" t="s">
        <v>140</v>
      </c>
      <c r="L81" t="s">
        <v>140</v>
      </c>
      <c r="M81" t="s">
        <v>140</v>
      </c>
      <c r="N81" t="s">
        <v>100</v>
      </c>
      <c r="O81" t="s">
        <v>140</v>
      </c>
      <c r="P81" t="s">
        <v>140</v>
      </c>
    </row>
    <row r="82" spans="1:25" s="95" customFormat="1" x14ac:dyDescent="0.35">
      <c r="A82" s="285" t="s">
        <v>384</v>
      </c>
      <c r="B82"/>
      <c r="C82" s="95" t="str">
        <f>CONCATENATE(EFs_Kühlmittel[[#This Row],[Thema]]," - ",EFs_Kühlmittel[[#This Row],[Bezeichnung]])</f>
        <v xml:space="preserve">Kühl_und_Kältemittel - </v>
      </c>
      <c r="D82" s="2" t="str">
        <f t="shared" si="3"/>
        <v>Kühl_und_Kältemittel</v>
      </c>
      <c r="G82" s="329"/>
      <c r="N82" t="str">
        <f t="shared" ref="N82:N86" si="4">"Kat. 4"</f>
        <v>Kat. 4</v>
      </c>
      <c r="O82" t="str">
        <f t="shared" ref="O82:O86" si="5">"-"</f>
        <v>-</v>
      </c>
      <c r="P82" t="str">
        <f t="shared" ref="P82:P86" si="6">"-"</f>
        <v>-</v>
      </c>
      <c r="R82"/>
      <c r="S82"/>
      <c r="T82"/>
      <c r="U82"/>
      <c r="V82"/>
      <c r="W82"/>
      <c r="X82"/>
      <c r="Y82"/>
    </row>
    <row r="83" spans="1:25" s="95" customFormat="1" x14ac:dyDescent="0.35">
      <c r="A83" s="285" t="s">
        <v>384</v>
      </c>
      <c r="B83"/>
      <c r="C83" s="95" t="str">
        <f>CONCATENATE(EFs_Kühlmittel[[#This Row],[Thema]]," - ",EFs_Kühlmittel[[#This Row],[Bezeichnung]])</f>
        <v xml:space="preserve">Kühl_und_Kältemittel - </v>
      </c>
      <c r="D83" s="2" t="str">
        <f t="shared" si="3"/>
        <v>Kühl_und_Kältemittel</v>
      </c>
      <c r="G83" s="329"/>
      <c r="N83" t="str">
        <f t="shared" si="4"/>
        <v>Kat. 4</v>
      </c>
      <c r="O83" t="str">
        <f t="shared" si="5"/>
        <v>-</v>
      </c>
      <c r="P83" t="str">
        <f t="shared" si="6"/>
        <v>-</v>
      </c>
      <c r="R83"/>
      <c r="S83"/>
      <c r="T83"/>
      <c r="U83"/>
      <c r="V83"/>
      <c r="W83"/>
      <c r="X83"/>
      <c r="Y83"/>
    </row>
    <row r="84" spans="1:25" s="95" customFormat="1" x14ac:dyDescent="0.35">
      <c r="A84" s="285" t="s">
        <v>384</v>
      </c>
      <c r="B84"/>
      <c r="C84" s="95" t="str">
        <f>CONCATENATE(EFs_Kühlmittel[[#This Row],[Thema]]," - ",EFs_Kühlmittel[[#This Row],[Bezeichnung]])</f>
        <v xml:space="preserve">Kühl_und_Kältemittel - </v>
      </c>
      <c r="D84" s="2" t="str">
        <f t="shared" si="3"/>
        <v>Kühl_und_Kältemittel</v>
      </c>
      <c r="G84" s="329"/>
      <c r="N84" t="str">
        <f t="shared" si="4"/>
        <v>Kat. 4</v>
      </c>
      <c r="O84" t="str">
        <f t="shared" si="5"/>
        <v>-</v>
      </c>
      <c r="P84" t="str">
        <f t="shared" si="6"/>
        <v>-</v>
      </c>
      <c r="R84"/>
      <c r="S84"/>
      <c r="T84"/>
      <c r="U84"/>
      <c r="V84"/>
      <c r="W84"/>
      <c r="X84"/>
      <c r="Y84"/>
    </row>
    <row r="85" spans="1:25" s="95" customFormat="1" x14ac:dyDescent="0.35">
      <c r="A85" s="285" t="s">
        <v>384</v>
      </c>
      <c r="B85"/>
      <c r="C85" s="95" t="str">
        <f>CONCATENATE(EFs_Kühlmittel[[#This Row],[Thema]]," - ",EFs_Kühlmittel[[#This Row],[Bezeichnung]])</f>
        <v xml:space="preserve">Kühl_und_Kältemittel - </v>
      </c>
      <c r="D85" s="286" t="str">
        <f t="shared" si="3"/>
        <v>Kühl_und_Kältemittel</v>
      </c>
      <c r="G85" s="329"/>
      <c r="N85" s="95" t="str">
        <f t="shared" si="4"/>
        <v>Kat. 4</v>
      </c>
      <c r="O85" s="95" t="str">
        <f t="shared" si="5"/>
        <v>-</v>
      </c>
      <c r="P85" s="95" t="str">
        <f t="shared" si="6"/>
        <v>-</v>
      </c>
      <c r="R85"/>
      <c r="S85"/>
      <c r="T85"/>
      <c r="U85"/>
      <c r="V85"/>
      <c r="W85"/>
      <c r="X85"/>
      <c r="Y85"/>
    </row>
    <row r="86" spans="1:25" s="95" customFormat="1" x14ac:dyDescent="0.35">
      <c r="A86" s="285" t="s">
        <v>384</v>
      </c>
      <c r="B86"/>
      <c r="C86" s="95" t="str">
        <f>CONCATENATE(EFs_Kühlmittel[[#This Row],[Thema]]," - ",EFs_Kühlmittel[[#This Row],[Bezeichnung]])</f>
        <v xml:space="preserve">Kühl_und_Kältemittel - </v>
      </c>
      <c r="D86" s="286" t="str">
        <f t="shared" si="3"/>
        <v>Kühl_und_Kältemittel</v>
      </c>
      <c r="G86" s="329"/>
      <c r="N86" s="95" t="str">
        <f t="shared" si="4"/>
        <v>Kat. 4</v>
      </c>
      <c r="O86" s="95" t="str">
        <f t="shared" si="5"/>
        <v>-</v>
      </c>
      <c r="P86" s="95" t="str">
        <f t="shared" si="6"/>
        <v>-</v>
      </c>
      <c r="R86"/>
      <c r="S86"/>
      <c r="T86"/>
      <c r="U86"/>
      <c r="V86"/>
      <c r="W86"/>
      <c r="X86"/>
      <c r="Y86"/>
    </row>
    <row r="87" spans="1:25" x14ac:dyDescent="0.35">
      <c r="D87" s="2"/>
    </row>
    <row r="88" spans="1:25" ht="29" x14ac:dyDescent="0.35">
      <c r="A88" s="471" t="s">
        <v>15</v>
      </c>
      <c r="B88" s="471"/>
      <c r="C88" s="159" t="s">
        <v>51</v>
      </c>
      <c r="D88" s="159" t="s">
        <v>0</v>
      </c>
      <c r="E88" s="159" t="s">
        <v>1</v>
      </c>
      <c r="F88" s="159" t="s">
        <v>59</v>
      </c>
      <c r="G88" s="159" t="s">
        <v>5</v>
      </c>
      <c r="H88" s="159" t="s">
        <v>6</v>
      </c>
      <c r="I88" s="159" t="s">
        <v>7</v>
      </c>
      <c r="J88" s="159" t="s">
        <v>2</v>
      </c>
      <c r="K88" s="159" t="s">
        <v>3</v>
      </c>
      <c r="L88" s="159" t="s">
        <v>4</v>
      </c>
      <c r="M88" s="159" t="s">
        <v>25</v>
      </c>
      <c r="N88" s="159" t="s">
        <v>314</v>
      </c>
      <c r="O88" s="159" t="s">
        <v>315</v>
      </c>
      <c r="P88" s="159" t="s">
        <v>316</v>
      </c>
    </row>
    <row r="89" spans="1:25" x14ac:dyDescent="0.35">
      <c r="C89" t="str">
        <f>CONCATENATE(EFs_Fuhrpark[[#This Row],[Thema]]," - ",EFs_Fuhrpark[[#This Row],[Bezeichnung]])</f>
        <v>Fuhrpark - Benzin</v>
      </c>
      <c r="D89" s="2" t="str">
        <f t="shared" ref="D89:D98" si="7">"Fuhrpark"</f>
        <v>Fuhrpark</v>
      </c>
      <c r="E89" t="s">
        <v>31</v>
      </c>
      <c r="F89" t="s">
        <v>29</v>
      </c>
      <c r="G89">
        <v>2.2101760000000001</v>
      </c>
      <c r="H89">
        <v>0</v>
      </c>
      <c r="I89">
        <v>0.73522279999999995</v>
      </c>
      <c r="J89" t="s">
        <v>518</v>
      </c>
      <c r="K89" t="s">
        <v>140</v>
      </c>
      <c r="L89" t="s">
        <v>518</v>
      </c>
      <c r="M89" t="s">
        <v>140</v>
      </c>
      <c r="N89" t="s">
        <v>98</v>
      </c>
      <c r="O89" t="s">
        <v>140</v>
      </c>
      <c r="P89" t="s">
        <v>99</v>
      </c>
    </row>
    <row r="90" spans="1:25" x14ac:dyDescent="0.35">
      <c r="C90" t="str">
        <f>CONCATENATE(EFs_Fuhrpark[[#This Row],[Thema]]," - ",EFs_Fuhrpark[[#This Row],[Bezeichnung]])</f>
        <v>Fuhrpark - Diesel</v>
      </c>
      <c r="D90" s="2" t="str">
        <f t="shared" si="7"/>
        <v>Fuhrpark</v>
      </c>
      <c r="E90" t="s">
        <v>32</v>
      </c>
      <c r="F90" t="s">
        <v>29</v>
      </c>
      <c r="G90">
        <v>2.4875411999999999</v>
      </c>
      <c r="H90">
        <v>0</v>
      </c>
      <c r="I90">
        <v>0.84432660000000004</v>
      </c>
      <c r="J90" t="s">
        <v>518</v>
      </c>
      <c r="K90" t="s">
        <v>140</v>
      </c>
      <c r="L90" t="s">
        <v>518</v>
      </c>
      <c r="M90" t="s">
        <v>140</v>
      </c>
      <c r="N90" t="s">
        <v>98</v>
      </c>
      <c r="O90" t="s">
        <v>140</v>
      </c>
      <c r="P90" t="s">
        <v>99</v>
      </c>
    </row>
    <row r="91" spans="1:25" x14ac:dyDescent="0.35">
      <c r="C91" t="str">
        <f>CONCATENATE(EFs_Fuhrpark[[#This Row],[Thema]]," - ",EFs_Fuhrpark[[#This Row],[Bezeichnung]])</f>
        <v>Fuhrpark - Autogas (LPG)</v>
      </c>
      <c r="D91" s="2" t="str">
        <f t="shared" si="7"/>
        <v>Fuhrpark</v>
      </c>
      <c r="E91" t="s">
        <v>33</v>
      </c>
      <c r="F91" t="s">
        <v>29</v>
      </c>
      <c r="G91">
        <v>1.8624645</v>
      </c>
      <c r="H91">
        <v>0</v>
      </c>
      <c r="I91">
        <v>0.39212609999999998</v>
      </c>
      <c r="J91" t="s">
        <v>518</v>
      </c>
      <c r="K91" t="s">
        <v>140</v>
      </c>
      <c r="L91" t="s">
        <v>518</v>
      </c>
      <c r="M91" t="s">
        <v>140</v>
      </c>
      <c r="N91" t="s">
        <v>98</v>
      </c>
      <c r="O91" t="s">
        <v>140</v>
      </c>
      <c r="P91" t="s">
        <v>99</v>
      </c>
    </row>
    <row r="92" spans="1:25" x14ac:dyDescent="0.35">
      <c r="C92" t="str">
        <f>CONCATENATE(EFs_Fuhrpark[[#This Row],[Thema]]," - ",EFs_Fuhrpark[[#This Row],[Bezeichnung]])</f>
        <v>Fuhrpark - Erdgas (CNG)</v>
      </c>
      <c r="D92" s="2" t="str">
        <f t="shared" si="7"/>
        <v>Fuhrpark</v>
      </c>
      <c r="E92" t="s">
        <v>34</v>
      </c>
      <c r="F92" t="s">
        <v>30</v>
      </c>
      <c r="G92">
        <v>1.2000409999999999</v>
      </c>
      <c r="H92">
        <v>0</v>
      </c>
      <c r="I92">
        <v>0.93055270000000001</v>
      </c>
      <c r="J92" t="s">
        <v>518</v>
      </c>
      <c r="K92" t="s">
        <v>140</v>
      </c>
      <c r="L92" t="s">
        <v>518</v>
      </c>
      <c r="M92" t="s">
        <v>140</v>
      </c>
      <c r="N92" t="s">
        <v>98</v>
      </c>
      <c r="O92" t="s">
        <v>140</v>
      </c>
      <c r="P92" t="s">
        <v>99</v>
      </c>
    </row>
    <row r="93" spans="1:25" x14ac:dyDescent="0.35">
      <c r="C93" t="str">
        <f>CONCATENATE(EFs_Fuhrpark[[#This Row],[Thema]]," - ",EFs_Fuhrpark[[#This Row],[Bezeichnung]])</f>
        <v>Fuhrpark - Strom (externes Laden)</v>
      </c>
      <c r="D93" s="2" t="str">
        <f t="shared" si="7"/>
        <v>Fuhrpark</v>
      </c>
      <c r="E93" t="s">
        <v>95</v>
      </c>
      <c r="F93" t="s">
        <v>28</v>
      </c>
      <c r="G93">
        <v>0</v>
      </c>
      <c r="H93">
        <v>0.377</v>
      </c>
      <c r="I93">
        <v>6.8519999999999998E-2</v>
      </c>
      <c r="J93" t="s">
        <v>140</v>
      </c>
      <c r="K93" t="s">
        <v>515</v>
      </c>
      <c r="L93" t="s">
        <v>516</v>
      </c>
      <c r="M93" t="s">
        <v>140</v>
      </c>
      <c r="N93" t="s">
        <v>140</v>
      </c>
      <c r="O93" t="s">
        <v>97</v>
      </c>
      <c r="P93" t="s">
        <v>99</v>
      </c>
    </row>
    <row r="94" spans="1:25" s="95" customFormat="1" x14ac:dyDescent="0.35">
      <c r="A94" s="285" t="s">
        <v>384</v>
      </c>
      <c r="B94"/>
      <c r="C94" s="95" t="str">
        <f>CONCATENATE(EFs_Fuhrpark[[#This Row],[Thema]]," - ",EFs_Fuhrpark[[#This Row],[Bezeichnung]])</f>
        <v xml:space="preserve">Fuhrpark - </v>
      </c>
      <c r="D94" s="2" t="str">
        <f t="shared" si="7"/>
        <v>Fuhrpark</v>
      </c>
      <c r="N94"/>
      <c r="O94"/>
      <c r="P94"/>
      <c r="R94"/>
      <c r="S94"/>
      <c r="T94"/>
      <c r="U94"/>
      <c r="V94"/>
      <c r="W94"/>
      <c r="X94"/>
      <c r="Y94"/>
    </row>
    <row r="95" spans="1:25" s="95" customFormat="1" x14ac:dyDescent="0.35">
      <c r="A95" s="285" t="s">
        <v>384</v>
      </c>
      <c r="B95"/>
      <c r="C95" s="95" t="str">
        <f>CONCATENATE(EFs_Fuhrpark[[#This Row],[Thema]]," - ",EFs_Fuhrpark[[#This Row],[Bezeichnung]])</f>
        <v xml:space="preserve">Fuhrpark - </v>
      </c>
      <c r="D95" s="2" t="str">
        <f t="shared" si="7"/>
        <v>Fuhrpark</v>
      </c>
      <c r="N95"/>
      <c r="O95"/>
      <c r="P95"/>
      <c r="R95"/>
      <c r="S95"/>
      <c r="T95"/>
      <c r="U95"/>
      <c r="V95"/>
      <c r="W95"/>
      <c r="X95"/>
      <c r="Y95"/>
    </row>
    <row r="96" spans="1:25" s="95" customFormat="1" x14ac:dyDescent="0.35">
      <c r="A96" s="285" t="s">
        <v>384</v>
      </c>
      <c r="B96"/>
      <c r="C96" s="95" t="str">
        <f>CONCATENATE(EFs_Fuhrpark[[#This Row],[Thema]]," - ",EFs_Fuhrpark[[#This Row],[Bezeichnung]])</f>
        <v xml:space="preserve">Fuhrpark - </v>
      </c>
      <c r="D96" s="2" t="str">
        <f t="shared" si="7"/>
        <v>Fuhrpark</v>
      </c>
      <c r="N96"/>
      <c r="O96"/>
      <c r="P96"/>
      <c r="R96"/>
      <c r="S96"/>
      <c r="T96"/>
      <c r="U96"/>
      <c r="V96"/>
      <c r="W96"/>
      <c r="X96"/>
      <c r="Y96"/>
    </row>
    <row r="97" spans="1:25" s="95" customFormat="1" x14ac:dyDescent="0.35">
      <c r="A97" s="285" t="s">
        <v>384</v>
      </c>
      <c r="B97"/>
      <c r="C97" s="95" t="str">
        <f>CONCATENATE(EFs_Fuhrpark[[#This Row],[Thema]]," - ",EFs_Fuhrpark[[#This Row],[Bezeichnung]])</f>
        <v xml:space="preserve">Fuhrpark - </v>
      </c>
      <c r="D97" s="286" t="str">
        <f t="shared" si="7"/>
        <v>Fuhrpark</v>
      </c>
      <c r="R97"/>
      <c r="S97"/>
      <c r="T97"/>
      <c r="U97"/>
      <c r="V97"/>
      <c r="W97"/>
      <c r="X97"/>
      <c r="Y97"/>
    </row>
    <row r="98" spans="1:25" s="95" customFormat="1" x14ac:dyDescent="0.35">
      <c r="A98" s="285" t="s">
        <v>384</v>
      </c>
      <c r="B98"/>
      <c r="C98" s="95" t="str">
        <f>CONCATENATE(EFs_Fuhrpark[[#This Row],[Thema]]," - ",EFs_Fuhrpark[[#This Row],[Bezeichnung]])</f>
        <v xml:space="preserve">Fuhrpark - </v>
      </c>
      <c r="D98" s="286" t="str">
        <f t="shared" si="7"/>
        <v>Fuhrpark</v>
      </c>
      <c r="R98"/>
      <c r="S98"/>
      <c r="T98"/>
      <c r="U98"/>
      <c r="V98"/>
      <c r="W98"/>
      <c r="X98"/>
      <c r="Y98"/>
    </row>
    <row r="99" spans="1:25" x14ac:dyDescent="0.35">
      <c r="D99" s="2"/>
    </row>
    <row r="100" spans="1:25" ht="30" customHeight="1" x14ac:dyDescent="0.35">
      <c r="A100" s="471" t="s">
        <v>389</v>
      </c>
      <c r="B100" s="471"/>
      <c r="C100" s="159" t="s">
        <v>51</v>
      </c>
      <c r="D100" s="159" t="s">
        <v>0</v>
      </c>
      <c r="E100" s="159" t="s">
        <v>1</v>
      </c>
      <c r="F100" s="159" t="s">
        <v>59</v>
      </c>
      <c r="G100" s="159" t="s">
        <v>5</v>
      </c>
      <c r="H100" s="159" t="s">
        <v>6</v>
      </c>
      <c r="I100" s="159" t="s">
        <v>7</v>
      </c>
      <c r="J100" s="159" t="s">
        <v>2</v>
      </c>
      <c r="K100" s="159" t="s">
        <v>3</v>
      </c>
      <c r="L100" s="159" t="s">
        <v>4</v>
      </c>
      <c r="M100" s="159" t="s">
        <v>25</v>
      </c>
      <c r="N100" s="159" t="s">
        <v>314</v>
      </c>
      <c r="O100" s="159" t="s">
        <v>315</v>
      </c>
      <c r="P100" s="159" t="s">
        <v>316</v>
      </c>
    </row>
    <row r="101" spans="1:25" x14ac:dyDescent="0.35">
      <c r="A101" s="471"/>
      <c r="B101" s="471"/>
      <c r="C101" t="str">
        <f>CONCATENATE(EFs_Geschäftsreisen[[#This Row],[Thema]]," - ",EFs_Geschäftsreisen[[#This Row],[Bezeichnung]])</f>
        <v>Geschäftsreisen - PKW</v>
      </c>
      <c r="D101" s="2" t="str">
        <f t="shared" ref="D101:D115" si="8">"Geschäftsreisen"</f>
        <v>Geschäftsreisen</v>
      </c>
      <c r="E101" t="s">
        <v>38</v>
      </c>
      <c r="F101" t="s">
        <v>39</v>
      </c>
      <c r="G101">
        <v>0</v>
      </c>
      <c r="H101">
        <v>0</v>
      </c>
      <c r="I101">
        <v>0.16600000000000001</v>
      </c>
      <c r="J101" t="s">
        <v>140</v>
      </c>
      <c r="K101" t="s">
        <v>140</v>
      </c>
      <c r="L101" t="s">
        <v>523</v>
      </c>
      <c r="M101" t="s">
        <v>140</v>
      </c>
      <c r="N101" t="s">
        <v>140</v>
      </c>
      <c r="O101" t="s">
        <v>140</v>
      </c>
      <c r="P101" t="s">
        <v>102</v>
      </c>
    </row>
    <row r="102" spans="1:25" x14ac:dyDescent="0.35">
      <c r="C102" t="str">
        <f>CONCATENATE(EFs_Geschäftsreisen[[#This Row],[Thema]]," - ",EFs_Geschäftsreisen[[#This Row],[Bezeichnung]])</f>
        <v>Geschäftsreisen - ÖPNV</v>
      </c>
      <c r="D102" s="2" t="str">
        <f t="shared" si="8"/>
        <v>Geschäftsreisen</v>
      </c>
      <c r="E102" t="s">
        <v>36</v>
      </c>
      <c r="F102" t="s">
        <v>39</v>
      </c>
      <c r="G102">
        <v>0</v>
      </c>
      <c r="H102">
        <v>0</v>
      </c>
      <c r="I102">
        <v>7.1333300000000002E-2</v>
      </c>
      <c r="J102" t="s">
        <v>140</v>
      </c>
      <c r="K102" t="s">
        <v>140</v>
      </c>
      <c r="L102" t="s">
        <v>524</v>
      </c>
      <c r="M102" t="s">
        <v>140</v>
      </c>
      <c r="N102" t="s">
        <v>140</v>
      </c>
      <c r="O102" t="s">
        <v>140</v>
      </c>
      <c r="P102" t="s">
        <v>102</v>
      </c>
    </row>
    <row r="103" spans="1:25" x14ac:dyDescent="0.35">
      <c r="C103" t="str">
        <f>CONCATENATE(EFs_Geschäftsreisen[[#This Row],[Thema]]," - ",EFs_Geschäftsreisen[[#This Row],[Bezeichnung]])</f>
        <v>Geschäftsreisen - Reisebus</v>
      </c>
      <c r="D103" s="2" t="str">
        <f t="shared" si="8"/>
        <v>Geschäftsreisen</v>
      </c>
      <c r="E103" t="s">
        <v>35</v>
      </c>
      <c r="F103" t="s">
        <v>39</v>
      </c>
      <c r="G103">
        <v>0</v>
      </c>
      <c r="H103">
        <v>0</v>
      </c>
      <c r="I103">
        <v>3.1E-2</v>
      </c>
      <c r="J103" t="s">
        <v>140</v>
      </c>
      <c r="K103" t="s">
        <v>140</v>
      </c>
      <c r="L103" t="s">
        <v>525</v>
      </c>
      <c r="M103" t="s">
        <v>140</v>
      </c>
      <c r="N103" t="s">
        <v>140</v>
      </c>
      <c r="O103" t="s">
        <v>140</v>
      </c>
      <c r="P103" t="s">
        <v>102</v>
      </c>
    </row>
    <row r="104" spans="1:25" x14ac:dyDescent="0.35">
      <c r="C104" t="str">
        <f>CONCATENATE(EFs_Geschäftsreisen[[#This Row],[Thema]]," - ",EFs_Geschäftsreisen[[#This Row],[Bezeichnung]])</f>
        <v>Geschäftsreisen - Bahn Fernverkehr</v>
      </c>
      <c r="D104" s="2" t="str">
        <f t="shared" si="8"/>
        <v>Geschäftsreisen</v>
      </c>
      <c r="E104" t="s">
        <v>37</v>
      </c>
      <c r="F104" t="s">
        <v>39</v>
      </c>
      <c r="G104">
        <v>0</v>
      </c>
      <c r="H104">
        <v>0</v>
      </c>
      <c r="I104">
        <v>3.1E-2</v>
      </c>
      <c r="J104" t="s">
        <v>140</v>
      </c>
      <c r="K104" t="s">
        <v>140</v>
      </c>
      <c r="L104" t="s">
        <v>526</v>
      </c>
      <c r="M104" t="s">
        <v>140</v>
      </c>
      <c r="N104" t="s">
        <v>140</v>
      </c>
      <c r="O104" t="s">
        <v>140</v>
      </c>
      <c r="P104" t="s">
        <v>102</v>
      </c>
    </row>
    <row r="105" spans="1:25" x14ac:dyDescent="0.35">
      <c r="C105" t="str">
        <f>CONCATENATE(EFs_Geschäftsreisen[[#This Row],[Thema]]," - ",EFs_Geschäftsreisen[[#This Row],[Bezeichnung]])</f>
        <v>Geschäftsreisen - Flug (Inland)</v>
      </c>
      <c r="D105" s="2" t="str">
        <f t="shared" si="8"/>
        <v>Geschäftsreisen</v>
      </c>
      <c r="E105" t="s">
        <v>313</v>
      </c>
      <c r="F105" t="s">
        <v>39</v>
      </c>
      <c r="G105">
        <v>0</v>
      </c>
      <c r="H105">
        <v>0</v>
      </c>
      <c r="I105">
        <v>0.16098680000000001</v>
      </c>
      <c r="J105" t="s">
        <v>140</v>
      </c>
      <c r="K105" t="s">
        <v>140</v>
      </c>
      <c r="L105" t="s">
        <v>527</v>
      </c>
      <c r="M105" t="s">
        <v>140</v>
      </c>
      <c r="N105" t="s">
        <v>140</v>
      </c>
      <c r="O105" t="s">
        <v>140</v>
      </c>
      <c r="P105" t="s">
        <v>102</v>
      </c>
    </row>
    <row r="106" spans="1:25" x14ac:dyDescent="0.35">
      <c r="C106" t="str">
        <f>CONCATENATE(EFs_Geschäftsreisen[[#This Row],[Thema]]," - ",EFs_Geschäftsreisen[[#This Row],[Bezeichnung]])</f>
        <v>Geschäftsreisen - Flug (innereuropäisch)</v>
      </c>
      <c r="D106" s="2" t="str">
        <f t="shared" si="8"/>
        <v>Geschäftsreisen</v>
      </c>
      <c r="E106" t="s">
        <v>332</v>
      </c>
      <c r="F106" t="s">
        <v>39</v>
      </c>
      <c r="G106">
        <v>0</v>
      </c>
      <c r="H106">
        <v>0</v>
      </c>
      <c r="I106">
        <v>0.1097371</v>
      </c>
      <c r="J106" t="s">
        <v>140</v>
      </c>
      <c r="K106" t="s">
        <v>140</v>
      </c>
      <c r="L106" t="s">
        <v>528</v>
      </c>
      <c r="M106" t="s">
        <v>140</v>
      </c>
      <c r="N106" t="s">
        <v>140</v>
      </c>
      <c r="O106" t="s">
        <v>140</v>
      </c>
      <c r="P106" t="s">
        <v>102</v>
      </c>
    </row>
    <row r="107" spans="1:25" x14ac:dyDescent="0.35">
      <c r="C107" t="str">
        <f>CONCATENATE(EFs_Geschäftsreisen[[#This Row],[Thema]]," - ",EFs_Geschäftsreisen[[#This Row],[Bezeichnung]])</f>
        <v>Geschäftsreisen - Flug (international)</v>
      </c>
      <c r="D107" s="2" t="str">
        <f t="shared" si="8"/>
        <v>Geschäftsreisen</v>
      </c>
      <c r="E107" t="s">
        <v>333</v>
      </c>
      <c r="F107" t="s">
        <v>39</v>
      </c>
      <c r="G107">
        <v>0</v>
      </c>
      <c r="H107">
        <v>0</v>
      </c>
      <c r="I107">
        <v>0.1542306</v>
      </c>
      <c r="J107" t="s">
        <v>140</v>
      </c>
      <c r="K107" t="s">
        <v>140</v>
      </c>
      <c r="L107" t="s">
        <v>529</v>
      </c>
      <c r="M107" t="s">
        <v>140</v>
      </c>
      <c r="N107" t="s">
        <v>140</v>
      </c>
      <c r="O107" t="s">
        <v>140</v>
      </c>
      <c r="P107" t="s">
        <v>102</v>
      </c>
    </row>
    <row r="108" spans="1:25" x14ac:dyDescent="0.35">
      <c r="C108" t="str">
        <f>CONCATENATE(EFs_Geschäftsreisen[[#This Row],[Thema]]," - ",EFs_Geschäftsreisen[[#This Row],[Bezeichnung]])</f>
        <v>Geschäftsreisen - Hotel (Durchschnitt, Deutschland)</v>
      </c>
      <c r="D108" s="2" t="str">
        <f t="shared" si="8"/>
        <v>Geschäftsreisen</v>
      </c>
      <c r="E108" t="s">
        <v>122</v>
      </c>
      <c r="F108" t="s">
        <v>195</v>
      </c>
      <c r="G108">
        <v>0</v>
      </c>
      <c r="H108">
        <v>0</v>
      </c>
      <c r="I108">
        <v>11.3095482</v>
      </c>
      <c r="J108" t="s">
        <v>140</v>
      </c>
      <c r="K108" t="s">
        <v>140</v>
      </c>
      <c r="L108" t="s">
        <v>530</v>
      </c>
      <c r="M108" t="s">
        <v>140</v>
      </c>
      <c r="N108" t="s">
        <v>140</v>
      </c>
      <c r="O108" t="s">
        <v>140</v>
      </c>
      <c r="P108" t="s">
        <v>102</v>
      </c>
    </row>
    <row r="109" spans="1:25" x14ac:dyDescent="0.35">
      <c r="C109" t="str">
        <f>CONCATENATE(EFs_Geschäftsreisen[[#This Row],[Thema]]," - ",EFs_Geschäftsreisen[[#This Row],[Bezeichnung]])</f>
        <v>Geschäftsreisen - Hotel (Durchschnitt, International)</v>
      </c>
      <c r="D109" s="2" t="str">
        <f t="shared" si="8"/>
        <v>Geschäftsreisen</v>
      </c>
      <c r="E109" t="s">
        <v>123</v>
      </c>
      <c r="F109" t="s">
        <v>195</v>
      </c>
      <c r="G109">
        <v>0</v>
      </c>
      <c r="H109">
        <v>0</v>
      </c>
      <c r="I109">
        <v>19.469322099999999</v>
      </c>
      <c r="J109" t="s">
        <v>140</v>
      </c>
      <c r="K109" t="s">
        <v>140</v>
      </c>
      <c r="L109" t="s">
        <v>530</v>
      </c>
      <c r="M109" t="s">
        <v>140</v>
      </c>
      <c r="N109" t="s">
        <v>140</v>
      </c>
      <c r="O109" t="s">
        <v>140</v>
      </c>
      <c r="P109" t="s">
        <v>102</v>
      </c>
    </row>
    <row r="110" spans="1:25" x14ac:dyDescent="0.35">
      <c r="C110" t="str">
        <f>CONCATENATE(EFs_Geschäftsreisen[[#This Row],[Thema]]," - ",EFs_Geschäftsreisen[[#This Row],[Bezeichnung]])</f>
        <v>Geschäftsreisen - Extern ermittelte Emissionen</v>
      </c>
      <c r="D110" s="2" t="str">
        <f t="shared" si="8"/>
        <v>Geschäftsreisen</v>
      </c>
      <c r="E110" t="s">
        <v>145</v>
      </c>
      <c r="F110" t="s">
        <v>69</v>
      </c>
      <c r="G110">
        <v>0</v>
      </c>
      <c r="H110">
        <v>0</v>
      </c>
      <c r="I110">
        <v>1</v>
      </c>
      <c r="J110" t="s">
        <v>140</v>
      </c>
      <c r="K110" t="s">
        <v>140</v>
      </c>
      <c r="L110" t="s">
        <v>140</v>
      </c>
      <c r="M110" t="s">
        <v>140</v>
      </c>
      <c r="N110" t="s">
        <v>140</v>
      </c>
      <c r="O110" t="s">
        <v>140</v>
      </c>
      <c r="P110" t="s">
        <v>102</v>
      </c>
    </row>
    <row r="111" spans="1:25" s="95" customFormat="1" x14ac:dyDescent="0.35">
      <c r="A111" s="285" t="s">
        <v>384</v>
      </c>
      <c r="B111"/>
      <c r="C111" s="95" t="str">
        <f>CONCATENATE(EFs_Geschäftsreisen[[#This Row],[Thema]]," - ",EFs_Geschäftsreisen[[#This Row],[Bezeichnung]])</f>
        <v xml:space="preserve">Geschäftsreisen - </v>
      </c>
      <c r="D111" s="2" t="str">
        <f t="shared" si="8"/>
        <v>Geschäftsreisen</v>
      </c>
      <c r="N111" t="str">
        <f t="shared" ref="N111:N115" si="9">"-"</f>
        <v>-</v>
      </c>
      <c r="O111" t="str">
        <f t="shared" ref="O111:O115" si="10">"-"</f>
        <v>-</v>
      </c>
      <c r="P111" t="str">
        <f t="shared" ref="P111:P115" si="11">"Kat. 6"</f>
        <v>Kat. 6</v>
      </c>
      <c r="R111"/>
      <c r="S111"/>
      <c r="T111"/>
      <c r="U111"/>
      <c r="V111"/>
      <c r="W111"/>
      <c r="X111"/>
      <c r="Y111"/>
    </row>
    <row r="112" spans="1:25" s="95" customFormat="1" x14ac:dyDescent="0.35">
      <c r="A112" s="285" t="s">
        <v>384</v>
      </c>
      <c r="B112"/>
      <c r="C112" s="95" t="str">
        <f>CONCATENATE(EFs_Geschäftsreisen[[#This Row],[Thema]]," - ",EFs_Geschäftsreisen[[#This Row],[Bezeichnung]])</f>
        <v xml:space="preserve">Geschäftsreisen - </v>
      </c>
      <c r="D112" s="2" t="str">
        <f t="shared" si="8"/>
        <v>Geschäftsreisen</v>
      </c>
      <c r="N112" t="str">
        <f t="shared" si="9"/>
        <v>-</v>
      </c>
      <c r="O112" t="str">
        <f t="shared" si="10"/>
        <v>-</v>
      </c>
      <c r="P112" t="str">
        <f t="shared" si="11"/>
        <v>Kat. 6</v>
      </c>
      <c r="R112"/>
      <c r="S112"/>
      <c r="T112"/>
      <c r="U112"/>
      <c r="V112"/>
      <c r="W112"/>
      <c r="X112"/>
      <c r="Y112"/>
    </row>
    <row r="113" spans="1:25" s="95" customFormat="1" x14ac:dyDescent="0.35">
      <c r="A113" s="285" t="s">
        <v>384</v>
      </c>
      <c r="B113"/>
      <c r="C113" s="95" t="str">
        <f>CONCATENATE(EFs_Geschäftsreisen[[#This Row],[Thema]]," - ",EFs_Geschäftsreisen[[#This Row],[Bezeichnung]])</f>
        <v xml:space="preserve">Geschäftsreisen - </v>
      </c>
      <c r="D113" s="2" t="str">
        <f t="shared" si="8"/>
        <v>Geschäftsreisen</v>
      </c>
      <c r="N113" t="str">
        <f t="shared" si="9"/>
        <v>-</v>
      </c>
      <c r="O113" t="str">
        <f t="shared" si="10"/>
        <v>-</v>
      </c>
      <c r="P113" t="str">
        <f t="shared" si="11"/>
        <v>Kat. 6</v>
      </c>
      <c r="R113"/>
      <c r="S113"/>
      <c r="T113"/>
      <c r="U113"/>
      <c r="V113"/>
      <c r="W113"/>
      <c r="X113"/>
      <c r="Y113"/>
    </row>
    <row r="114" spans="1:25" s="95" customFormat="1" x14ac:dyDescent="0.35">
      <c r="A114" s="285" t="s">
        <v>384</v>
      </c>
      <c r="B114"/>
      <c r="C114" s="95" t="str">
        <f>CONCATENATE(EFs_Geschäftsreisen[[#This Row],[Thema]]," - ",EFs_Geschäftsreisen[[#This Row],[Bezeichnung]])</f>
        <v xml:space="preserve">Geschäftsreisen - </v>
      </c>
      <c r="D114" s="286" t="str">
        <f t="shared" si="8"/>
        <v>Geschäftsreisen</v>
      </c>
      <c r="N114" s="95" t="str">
        <f t="shared" si="9"/>
        <v>-</v>
      </c>
      <c r="O114" s="95" t="str">
        <f t="shared" si="10"/>
        <v>-</v>
      </c>
      <c r="P114" s="95" t="str">
        <f t="shared" si="11"/>
        <v>Kat. 6</v>
      </c>
      <c r="R114"/>
      <c r="S114"/>
      <c r="T114"/>
      <c r="U114"/>
      <c r="V114"/>
      <c r="W114"/>
      <c r="X114"/>
      <c r="Y114"/>
    </row>
    <row r="115" spans="1:25" s="95" customFormat="1" x14ac:dyDescent="0.35">
      <c r="A115" s="285" t="s">
        <v>384</v>
      </c>
      <c r="B115"/>
      <c r="C115" s="95" t="str">
        <f>CONCATENATE(EFs_Geschäftsreisen[[#This Row],[Thema]]," - ",EFs_Geschäftsreisen[[#This Row],[Bezeichnung]])</f>
        <v xml:space="preserve">Geschäftsreisen - </v>
      </c>
      <c r="D115" s="286" t="str">
        <f t="shared" si="8"/>
        <v>Geschäftsreisen</v>
      </c>
      <c r="N115" s="95" t="str">
        <f t="shared" si="9"/>
        <v>-</v>
      </c>
      <c r="O115" s="95" t="str">
        <f t="shared" si="10"/>
        <v>-</v>
      </c>
      <c r="P115" s="95" t="str">
        <f t="shared" si="11"/>
        <v>Kat. 6</v>
      </c>
      <c r="R115"/>
      <c r="S115"/>
      <c r="T115"/>
      <c r="U115"/>
      <c r="V115"/>
      <c r="W115"/>
      <c r="X115"/>
      <c r="Y115"/>
    </row>
    <row r="116" spans="1:25" x14ac:dyDescent="0.35">
      <c r="D116" s="2"/>
    </row>
    <row r="117" spans="1:25" ht="30" customHeight="1" x14ac:dyDescent="0.35">
      <c r="A117" s="471" t="s">
        <v>388</v>
      </c>
      <c r="B117" s="471"/>
      <c r="C117" s="159" t="s">
        <v>51</v>
      </c>
      <c r="D117" s="159" t="s">
        <v>0</v>
      </c>
      <c r="E117" s="159" t="s">
        <v>1</v>
      </c>
      <c r="F117" s="159" t="s">
        <v>59</v>
      </c>
      <c r="G117" s="159" t="s">
        <v>5</v>
      </c>
      <c r="H117" s="159" t="s">
        <v>6</v>
      </c>
      <c r="I117" s="159" t="s">
        <v>7</v>
      </c>
      <c r="J117" s="159" t="s">
        <v>2</v>
      </c>
      <c r="K117" s="159" t="s">
        <v>3</v>
      </c>
      <c r="L117" s="159" t="s">
        <v>4</v>
      </c>
      <c r="M117" s="159" t="s">
        <v>25</v>
      </c>
      <c r="N117" s="159" t="s">
        <v>314</v>
      </c>
      <c r="O117" s="159" t="s">
        <v>315</v>
      </c>
      <c r="P117" s="159" t="s">
        <v>316</v>
      </c>
    </row>
    <row r="118" spans="1:25" x14ac:dyDescent="0.35">
      <c r="A118" s="471"/>
      <c r="B118" s="471"/>
      <c r="C118" t="str">
        <f>CONCATENATE(EFs_Pendeln[[#This Row],[Thema]]," - ",EFs_Pendeln[[#This Row],[Bezeichnung]])</f>
        <v>Pendeln_Mitarbeitende - zu Fuß/Fahrrad</v>
      </c>
      <c r="D118" s="2" t="str">
        <f t="shared" ref="D118:D127" si="12">"Pendeln_Mitarbeitende"</f>
        <v>Pendeln_Mitarbeitende</v>
      </c>
      <c r="E118" t="s">
        <v>94</v>
      </c>
      <c r="F118" t="s">
        <v>39</v>
      </c>
      <c r="G118">
        <v>0</v>
      </c>
      <c r="H118">
        <v>0</v>
      </c>
      <c r="I118">
        <v>0</v>
      </c>
      <c r="J118" t="s">
        <v>140</v>
      </c>
      <c r="K118" t="s">
        <v>140</v>
      </c>
      <c r="L118" t="s">
        <v>140</v>
      </c>
      <c r="M118" t="s">
        <v>140</v>
      </c>
      <c r="N118" t="s">
        <v>140</v>
      </c>
      <c r="O118" t="s">
        <v>140</v>
      </c>
      <c r="P118" t="s">
        <v>103</v>
      </c>
    </row>
    <row r="119" spans="1:25" x14ac:dyDescent="0.35">
      <c r="C119" t="str">
        <f>CONCATENATE(EFs_Pendeln[[#This Row],[Thema]]," - ",EFs_Pendeln[[#This Row],[Bezeichnung]])</f>
        <v>Pendeln_Mitarbeitende - ÖPNV</v>
      </c>
      <c r="D119" s="2" t="str">
        <f t="shared" si="12"/>
        <v>Pendeln_Mitarbeitende</v>
      </c>
      <c r="E119" t="s">
        <v>36</v>
      </c>
      <c r="F119" t="s">
        <v>39</v>
      </c>
      <c r="G119">
        <v>0</v>
      </c>
      <c r="H119">
        <v>0</v>
      </c>
      <c r="I119">
        <v>7.1333300000000002E-2</v>
      </c>
      <c r="J119" t="s">
        <v>140</v>
      </c>
      <c r="K119" t="s">
        <v>140</v>
      </c>
      <c r="L119" t="s">
        <v>524</v>
      </c>
      <c r="M119" t="s">
        <v>140</v>
      </c>
      <c r="N119" t="s">
        <v>140</v>
      </c>
      <c r="O119" t="s">
        <v>140</v>
      </c>
      <c r="P119" t="s">
        <v>103</v>
      </c>
    </row>
    <row r="120" spans="1:25" x14ac:dyDescent="0.35">
      <c r="C120" t="str">
        <f>CONCATENATE(EFs_Pendeln[[#This Row],[Thema]]," - ",EFs_Pendeln[[#This Row],[Bezeichnung]])</f>
        <v>Pendeln_Mitarbeitende - PKW</v>
      </c>
      <c r="D120" s="2" t="str">
        <f t="shared" si="12"/>
        <v>Pendeln_Mitarbeitende</v>
      </c>
      <c r="E120" t="s">
        <v>38</v>
      </c>
      <c r="F120" t="s">
        <v>39</v>
      </c>
      <c r="G120">
        <v>0</v>
      </c>
      <c r="H120">
        <v>0</v>
      </c>
      <c r="I120">
        <v>0.16600000000000001</v>
      </c>
      <c r="J120" t="s">
        <v>140</v>
      </c>
      <c r="K120" t="s">
        <v>140</v>
      </c>
      <c r="L120" t="s">
        <v>523</v>
      </c>
      <c r="M120" t="s">
        <v>140</v>
      </c>
      <c r="N120" t="s">
        <v>140</v>
      </c>
      <c r="O120" t="s">
        <v>140</v>
      </c>
      <c r="P120" t="s">
        <v>103</v>
      </c>
    </row>
    <row r="121" spans="1:25" x14ac:dyDescent="0.35">
      <c r="C121" t="str">
        <f>CONCATENATE(EFs_Pendeln[[#This Row],[Thema]]," - ",EFs_Pendeln[[#This Row],[Bezeichnung]])</f>
        <v>Pendeln_Mitarbeitende - Bahn Fernverkehr</v>
      </c>
      <c r="D121" s="2" t="str">
        <f t="shared" si="12"/>
        <v>Pendeln_Mitarbeitende</v>
      </c>
      <c r="E121" t="s">
        <v>37</v>
      </c>
      <c r="F121" t="s">
        <v>39</v>
      </c>
      <c r="G121">
        <v>0</v>
      </c>
      <c r="H121">
        <v>0</v>
      </c>
      <c r="I121">
        <v>3.1E-2</v>
      </c>
      <c r="J121" t="s">
        <v>140</v>
      </c>
      <c r="K121" t="s">
        <v>140</v>
      </c>
      <c r="L121" t="s">
        <v>526</v>
      </c>
      <c r="M121" t="s">
        <v>140</v>
      </c>
      <c r="N121" t="s">
        <v>140</v>
      </c>
      <c r="O121" t="s">
        <v>140</v>
      </c>
      <c r="P121" t="s">
        <v>103</v>
      </c>
    </row>
    <row r="122" spans="1:25" x14ac:dyDescent="0.35">
      <c r="C122" t="str">
        <f>CONCATENATE(EFs_Pendeln[[#This Row],[Thema]]," - ",EFs_Pendeln[[#This Row],[Bezeichnung]])</f>
        <v>Pendeln_Mitarbeitende - Anfahrtswegpauschale</v>
      </c>
      <c r="D122" s="2" t="str">
        <f t="shared" si="12"/>
        <v>Pendeln_Mitarbeitende</v>
      </c>
      <c r="E122" t="s">
        <v>271</v>
      </c>
      <c r="F122" t="s">
        <v>196</v>
      </c>
      <c r="G122">
        <v>0</v>
      </c>
      <c r="H122">
        <v>0</v>
      </c>
      <c r="I122">
        <v>1069.6302049000001</v>
      </c>
      <c r="J122" t="s">
        <v>140</v>
      </c>
      <c r="K122" t="s">
        <v>140</v>
      </c>
      <c r="L122" t="s">
        <v>531</v>
      </c>
      <c r="M122" t="s">
        <v>140</v>
      </c>
      <c r="N122" t="s">
        <v>140</v>
      </c>
      <c r="O122" t="s">
        <v>140</v>
      </c>
      <c r="P122" t="s">
        <v>103</v>
      </c>
    </row>
    <row r="123" spans="1:25" s="95" customFormat="1" x14ac:dyDescent="0.35">
      <c r="A123" s="285" t="s">
        <v>384</v>
      </c>
      <c r="B123"/>
      <c r="C123" s="95" t="str">
        <f>CONCATENATE(EFs_Pendeln[[#This Row],[Thema]]," - ",EFs_Pendeln[[#This Row],[Bezeichnung]])</f>
        <v xml:space="preserve">Pendeln_Mitarbeitende - </v>
      </c>
      <c r="D123" s="2" t="str">
        <f t="shared" si="12"/>
        <v>Pendeln_Mitarbeitende</v>
      </c>
      <c r="N123" t="str">
        <f t="shared" ref="N123:N127" si="13">"-"</f>
        <v>-</v>
      </c>
      <c r="O123" t="str">
        <f t="shared" ref="O123:O127" si="14">"-"</f>
        <v>-</v>
      </c>
      <c r="P123" t="str">
        <f t="shared" ref="P123:P127" si="15">"Kat. 7"</f>
        <v>Kat. 7</v>
      </c>
      <c r="R123"/>
      <c r="S123"/>
      <c r="T123"/>
      <c r="U123"/>
      <c r="V123"/>
      <c r="W123"/>
      <c r="X123"/>
      <c r="Y123"/>
    </row>
    <row r="124" spans="1:25" s="95" customFormat="1" x14ac:dyDescent="0.35">
      <c r="A124" s="285" t="s">
        <v>384</v>
      </c>
      <c r="B124"/>
      <c r="C124" s="95" t="str">
        <f>CONCATENATE(EFs_Pendeln[[#This Row],[Thema]]," - ",EFs_Pendeln[[#This Row],[Bezeichnung]])</f>
        <v xml:space="preserve">Pendeln_Mitarbeitende - </v>
      </c>
      <c r="D124" s="2" t="str">
        <f t="shared" si="12"/>
        <v>Pendeln_Mitarbeitende</v>
      </c>
      <c r="N124" t="str">
        <f t="shared" si="13"/>
        <v>-</v>
      </c>
      <c r="O124" t="str">
        <f t="shared" si="14"/>
        <v>-</v>
      </c>
      <c r="P124" t="str">
        <f t="shared" si="15"/>
        <v>Kat. 7</v>
      </c>
      <c r="R124"/>
      <c r="S124"/>
      <c r="T124"/>
      <c r="U124"/>
      <c r="V124"/>
      <c r="W124"/>
      <c r="X124"/>
      <c r="Y124"/>
    </row>
    <row r="125" spans="1:25" s="95" customFormat="1" x14ac:dyDescent="0.35">
      <c r="A125" s="285" t="s">
        <v>384</v>
      </c>
      <c r="B125"/>
      <c r="C125" s="95" t="str">
        <f>CONCATENATE(EFs_Pendeln[[#This Row],[Thema]]," - ",EFs_Pendeln[[#This Row],[Bezeichnung]])</f>
        <v xml:space="preserve">Pendeln_Mitarbeitende - </v>
      </c>
      <c r="D125" s="2" t="str">
        <f t="shared" si="12"/>
        <v>Pendeln_Mitarbeitende</v>
      </c>
      <c r="N125" t="str">
        <f t="shared" si="13"/>
        <v>-</v>
      </c>
      <c r="O125" t="str">
        <f t="shared" si="14"/>
        <v>-</v>
      </c>
      <c r="P125" t="str">
        <f t="shared" si="15"/>
        <v>Kat. 7</v>
      </c>
      <c r="R125"/>
      <c r="S125"/>
      <c r="T125"/>
      <c r="U125"/>
      <c r="V125"/>
      <c r="W125"/>
      <c r="X125"/>
      <c r="Y125"/>
    </row>
    <row r="126" spans="1:25" s="95" customFormat="1" x14ac:dyDescent="0.35">
      <c r="A126" s="285" t="s">
        <v>384</v>
      </c>
      <c r="B126"/>
      <c r="C126" s="95" t="str">
        <f>CONCATENATE(EFs_Pendeln[[#This Row],[Thema]]," - ",EFs_Pendeln[[#This Row],[Bezeichnung]])</f>
        <v xml:space="preserve">Pendeln_Mitarbeitende - </v>
      </c>
      <c r="D126" s="286" t="str">
        <f t="shared" si="12"/>
        <v>Pendeln_Mitarbeitende</v>
      </c>
      <c r="N126" s="95" t="str">
        <f t="shared" si="13"/>
        <v>-</v>
      </c>
      <c r="O126" s="95" t="str">
        <f t="shared" si="14"/>
        <v>-</v>
      </c>
      <c r="P126" s="95" t="str">
        <f t="shared" si="15"/>
        <v>Kat. 7</v>
      </c>
      <c r="R126"/>
      <c r="S126"/>
      <c r="T126"/>
      <c r="U126"/>
      <c r="V126"/>
      <c r="W126"/>
      <c r="X126"/>
      <c r="Y126"/>
    </row>
    <row r="127" spans="1:25" s="95" customFormat="1" x14ac:dyDescent="0.35">
      <c r="A127" s="285" t="s">
        <v>384</v>
      </c>
      <c r="B127"/>
      <c r="C127" s="95" t="str">
        <f>CONCATENATE(EFs_Pendeln[[#This Row],[Thema]]," - ",EFs_Pendeln[[#This Row],[Bezeichnung]])</f>
        <v xml:space="preserve">Pendeln_Mitarbeitende - </v>
      </c>
      <c r="D127" s="286" t="str">
        <f t="shared" si="12"/>
        <v>Pendeln_Mitarbeitende</v>
      </c>
      <c r="N127" s="95" t="str">
        <f t="shared" si="13"/>
        <v>-</v>
      </c>
      <c r="O127" s="95" t="str">
        <f t="shared" si="14"/>
        <v>-</v>
      </c>
      <c r="P127" s="95" t="str">
        <f t="shared" si="15"/>
        <v>Kat. 7</v>
      </c>
      <c r="R127"/>
      <c r="S127"/>
      <c r="T127"/>
      <c r="U127"/>
      <c r="V127"/>
      <c r="W127"/>
      <c r="X127"/>
      <c r="Y127"/>
    </row>
    <row r="128" spans="1:25" x14ac:dyDescent="0.35">
      <c r="D128" s="2"/>
    </row>
    <row r="129" spans="1:25" ht="29" x14ac:dyDescent="0.35">
      <c r="A129" s="471" t="s">
        <v>144</v>
      </c>
      <c r="B129" s="471"/>
      <c r="C129" s="159" t="s">
        <v>51</v>
      </c>
      <c r="D129" s="159" t="s">
        <v>0</v>
      </c>
      <c r="E129" s="159" t="s">
        <v>1</v>
      </c>
      <c r="F129" s="159" t="s">
        <v>59</v>
      </c>
      <c r="G129" s="159" t="s">
        <v>5</v>
      </c>
      <c r="H129" s="159" t="s">
        <v>6</v>
      </c>
      <c r="I129" s="159" t="s">
        <v>7</v>
      </c>
      <c r="J129" s="159" t="s">
        <v>2</v>
      </c>
      <c r="K129" s="159" t="s">
        <v>3</v>
      </c>
      <c r="L129" s="159" t="s">
        <v>4</v>
      </c>
      <c r="M129" s="159" t="s">
        <v>25</v>
      </c>
      <c r="N129" s="159" t="s">
        <v>314</v>
      </c>
      <c r="O129" s="159" t="s">
        <v>315</v>
      </c>
      <c r="P129" s="159" t="s">
        <v>316</v>
      </c>
    </row>
    <row r="130" spans="1:25" x14ac:dyDescent="0.35">
      <c r="C130" t="str">
        <f>CONCATENATE(EFs_Externe[[#This Row],[Thema]]," - ",EFs_Externe[[#This Row],[Bezeichnung]])</f>
        <v>Externe - PKW</v>
      </c>
      <c r="D130" s="2" t="str">
        <f t="shared" ref="D130:D142" si="16">"Externe"</f>
        <v>Externe</v>
      </c>
      <c r="E130" t="s">
        <v>38</v>
      </c>
      <c r="F130" t="s">
        <v>39</v>
      </c>
      <c r="G130">
        <v>0</v>
      </c>
      <c r="H130">
        <v>0</v>
      </c>
      <c r="I130">
        <v>0.16600000000000001</v>
      </c>
      <c r="J130" t="s">
        <v>140</v>
      </c>
      <c r="K130" t="s">
        <v>140</v>
      </c>
      <c r="L130" t="s">
        <v>523</v>
      </c>
      <c r="M130" t="s">
        <v>140</v>
      </c>
      <c r="N130" t="s">
        <v>140</v>
      </c>
      <c r="O130" t="s">
        <v>140</v>
      </c>
      <c r="P130" t="s">
        <v>97</v>
      </c>
    </row>
    <row r="131" spans="1:25" x14ac:dyDescent="0.35">
      <c r="C131" t="str">
        <f>CONCATENATE(EFs_Externe[[#This Row],[Thema]]," - ",EFs_Externe[[#This Row],[Bezeichnung]])</f>
        <v>Externe - ÖPNV</v>
      </c>
      <c r="D131" s="2" t="str">
        <f t="shared" si="16"/>
        <v>Externe</v>
      </c>
      <c r="E131" t="s">
        <v>36</v>
      </c>
      <c r="F131" t="s">
        <v>39</v>
      </c>
      <c r="G131">
        <v>0</v>
      </c>
      <c r="H131">
        <v>0</v>
      </c>
      <c r="I131">
        <v>7.1333300000000002E-2</v>
      </c>
      <c r="J131" t="s">
        <v>140</v>
      </c>
      <c r="K131" t="s">
        <v>140</v>
      </c>
      <c r="L131" t="s">
        <v>524</v>
      </c>
      <c r="M131" t="s">
        <v>140</v>
      </c>
      <c r="N131" t="s">
        <v>140</v>
      </c>
      <c r="O131" t="s">
        <v>140</v>
      </c>
      <c r="P131" t="s">
        <v>97</v>
      </c>
    </row>
    <row r="132" spans="1:25" x14ac:dyDescent="0.35">
      <c r="C132" t="str">
        <f>CONCATENATE(EFs_Externe[[#This Row],[Thema]]," - ",EFs_Externe[[#This Row],[Bezeichnung]])</f>
        <v>Externe - Reisebus</v>
      </c>
      <c r="D132" s="2" t="str">
        <f t="shared" si="16"/>
        <v>Externe</v>
      </c>
      <c r="E132" t="s">
        <v>35</v>
      </c>
      <c r="F132" t="s">
        <v>39</v>
      </c>
      <c r="G132">
        <v>0</v>
      </c>
      <c r="H132">
        <v>0</v>
      </c>
      <c r="I132">
        <v>3.1E-2</v>
      </c>
      <c r="J132" t="s">
        <v>140</v>
      </c>
      <c r="K132" t="s">
        <v>140</v>
      </c>
      <c r="L132" t="s">
        <v>525</v>
      </c>
      <c r="M132" t="s">
        <v>140</v>
      </c>
      <c r="N132" t="s">
        <v>140</v>
      </c>
      <c r="O132" t="s">
        <v>140</v>
      </c>
      <c r="P132" t="s">
        <v>97</v>
      </c>
    </row>
    <row r="133" spans="1:25" x14ac:dyDescent="0.35">
      <c r="C133" t="str">
        <f>CONCATENATE(EFs_Externe[[#This Row],[Thema]]," - ",EFs_Externe[[#This Row],[Bezeichnung]])</f>
        <v>Externe - Bahn Fernverkehr</v>
      </c>
      <c r="D133" s="2" t="str">
        <f t="shared" si="16"/>
        <v>Externe</v>
      </c>
      <c r="E133" t="s">
        <v>37</v>
      </c>
      <c r="F133" t="s">
        <v>39</v>
      </c>
      <c r="G133">
        <v>0</v>
      </c>
      <c r="H133">
        <v>0</v>
      </c>
      <c r="I133">
        <v>3.1E-2</v>
      </c>
      <c r="J133" t="s">
        <v>140</v>
      </c>
      <c r="K133" t="s">
        <v>140</v>
      </c>
      <c r="L133" t="s">
        <v>526</v>
      </c>
      <c r="M133" t="s">
        <v>140</v>
      </c>
      <c r="N133" t="s">
        <v>140</v>
      </c>
      <c r="O133" t="s">
        <v>140</v>
      </c>
      <c r="P133" t="s">
        <v>97</v>
      </c>
    </row>
    <row r="134" spans="1:25" x14ac:dyDescent="0.35">
      <c r="C134" t="str">
        <f>CONCATENATE(EFs_Externe[[#This Row],[Thema]]," - ",EFs_Externe[[#This Row],[Bezeichnung]])</f>
        <v>Externe - Flug (Inland)</v>
      </c>
      <c r="D134" s="2" t="str">
        <f t="shared" si="16"/>
        <v>Externe</v>
      </c>
      <c r="E134" t="s">
        <v>313</v>
      </c>
      <c r="F134" t="s">
        <v>39</v>
      </c>
      <c r="G134">
        <v>0</v>
      </c>
      <c r="H134">
        <v>0</v>
      </c>
      <c r="I134">
        <v>0.16098680000000001</v>
      </c>
      <c r="J134" t="s">
        <v>140</v>
      </c>
      <c r="K134" t="s">
        <v>140</v>
      </c>
      <c r="L134" t="s">
        <v>527</v>
      </c>
      <c r="M134" t="s">
        <v>140</v>
      </c>
      <c r="N134" t="s">
        <v>140</v>
      </c>
      <c r="O134" t="s">
        <v>140</v>
      </c>
      <c r="P134" t="s">
        <v>97</v>
      </c>
    </row>
    <row r="135" spans="1:25" x14ac:dyDescent="0.35">
      <c r="C135" t="str">
        <f>CONCATENATE(EFs_Externe[[#This Row],[Thema]]," - ",EFs_Externe[[#This Row],[Bezeichnung]])</f>
        <v>Externe - Flug (innereuropäisch)</v>
      </c>
      <c r="D135" s="2" t="str">
        <f t="shared" si="16"/>
        <v>Externe</v>
      </c>
      <c r="E135" t="s">
        <v>332</v>
      </c>
      <c r="F135" t="s">
        <v>39</v>
      </c>
      <c r="G135">
        <v>0</v>
      </c>
      <c r="H135">
        <v>0</v>
      </c>
      <c r="I135">
        <v>0.1097371</v>
      </c>
      <c r="J135" t="s">
        <v>140</v>
      </c>
      <c r="K135" t="s">
        <v>140</v>
      </c>
      <c r="L135" t="s">
        <v>528</v>
      </c>
      <c r="M135" t="s">
        <v>140</v>
      </c>
      <c r="N135" t="s">
        <v>140</v>
      </c>
      <c r="O135" t="s">
        <v>140</v>
      </c>
      <c r="P135" t="s">
        <v>97</v>
      </c>
    </row>
    <row r="136" spans="1:25" x14ac:dyDescent="0.35">
      <c r="C136" t="str">
        <f>CONCATENATE(EFs_Externe[[#This Row],[Thema]]," - ",EFs_Externe[[#This Row],[Bezeichnung]])</f>
        <v>Externe - Flug (international)</v>
      </c>
      <c r="D136" s="2" t="str">
        <f t="shared" si="16"/>
        <v>Externe</v>
      </c>
      <c r="E136" t="s">
        <v>333</v>
      </c>
      <c r="F136" t="s">
        <v>39</v>
      </c>
      <c r="G136">
        <v>0</v>
      </c>
      <c r="H136">
        <v>0</v>
      </c>
      <c r="I136">
        <v>0.1542306</v>
      </c>
      <c r="J136" t="s">
        <v>140</v>
      </c>
      <c r="K136" t="s">
        <v>140</v>
      </c>
      <c r="L136" t="s">
        <v>529</v>
      </c>
      <c r="M136" t="s">
        <v>140</v>
      </c>
      <c r="N136" t="s">
        <v>140</v>
      </c>
      <c r="O136" t="s">
        <v>140</v>
      </c>
      <c r="P136" t="s">
        <v>97</v>
      </c>
    </row>
    <row r="137" spans="1:25" x14ac:dyDescent="0.35">
      <c r="C137" t="str">
        <f>CONCATENATE(EFs_Externe[[#This Row],[Thema]]," - ",EFs_Externe[[#This Row],[Bezeichnung]])</f>
        <v>Externe - Hotel (Durchschnitt, Deutschland)</v>
      </c>
      <c r="D137" s="2" t="str">
        <f t="shared" si="16"/>
        <v>Externe</v>
      </c>
      <c r="E137" t="s">
        <v>122</v>
      </c>
      <c r="F137" t="s">
        <v>195</v>
      </c>
      <c r="G137">
        <v>0</v>
      </c>
      <c r="H137">
        <v>0</v>
      </c>
      <c r="I137">
        <v>11.3095482</v>
      </c>
      <c r="J137" t="s">
        <v>140</v>
      </c>
      <c r="K137" t="s">
        <v>140</v>
      </c>
      <c r="L137" t="s">
        <v>530</v>
      </c>
      <c r="M137" t="s">
        <v>140</v>
      </c>
      <c r="N137" t="s">
        <v>140</v>
      </c>
      <c r="O137" t="s">
        <v>140</v>
      </c>
      <c r="P137" t="s">
        <v>97</v>
      </c>
    </row>
    <row r="138" spans="1:25" s="95" customFormat="1" x14ac:dyDescent="0.35">
      <c r="A138" s="285" t="s">
        <v>384</v>
      </c>
      <c r="B138"/>
      <c r="C138" s="95" t="str">
        <f>CONCATENATE(EFs_Externe[[#This Row],[Thema]]," - ",EFs_Externe[[#This Row],[Bezeichnung]])</f>
        <v xml:space="preserve">Externe - </v>
      </c>
      <c r="D138" s="2" t="str">
        <f t="shared" si="16"/>
        <v>Externe</v>
      </c>
      <c r="N138" t="str">
        <f t="shared" ref="N138:N142" si="17">"-"</f>
        <v>-</v>
      </c>
      <c r="O138" t="str">
        <f t="shared" ref="O138:O142" si="18">"-"</f>
        <v>-</v>
      </c>
      <c r="P138" t="str">
        <f t="shared" ref="P138:P142" si="19">"Kat. 1"</f>
        <v>Kat. 1</v>
      </c>
      <c r="R138"/>
      <c r="S138"/>
      <c r="T138"/>
      <c r="U138"/>
      <c r="V138"/>
      <c r="W138"/>
      <c r="X138"/>
      <c r="Y138"/>
    </row>
    <row r="139" spans="1:25" s="95" customFormat="1" x14ac:dyDescent="0.35">
      <c r="A139" s="285" t="s">
        <v>384</v>
      </c>
      <c r="B139"/>
      <c r="C139" s="95" t="str">
        <f>CONCATENATE(EFs_Externe[[#This Row],[Thema]]," - ",EFs_Externe[[#This Row],[Bezeichnung]])</f>
        <v xml:space="preserve">Externe - </v>
      </c>
      <c r="D139" s="2" t="str">
        <f t="shared" si="16"/>
        <v>Externe</v>
      </c>
      <c r="N139" t="str">
        <f t="shared" si="17"/>
        <v>-</v>
      </c>
      <c r="O139" t="str">
        <f t="shared" si="18"/>
        <v>-</v>
      </c>
      <c r="P139" t="str">
        <f t="shared" si="19"/>
        <v>Kat. 1</v>
      </c>
      <c r="R139"/>
      <c r="S139"/>
      <c r="T139"/>
      <c r="U139"/>
      <c r="V139"/>
      <c r="W139"/>
      <c r="X139"/>
      <c r="Y139"/>
    </row>
    <row r="140" spans="1:25" s="95" customFormat="1" x14ac:dyDescent="0.35">
      <c r="A140" s="285" t="s">
        <v>384</v>
      </c>
      <c r="B140"/>
      <c r="C140" s="95" t="str">
        <f>CONCATENATE(EFs_Externe[[#This Row],[Thema]]," - ",EFs_Externe[[#This Row],[Bezeichnung]])</f>
        <v xml:space="preserve">Externe - </v>
      </c>
      <c r="D140" s="2" t="str">
        <f t="shared" si="16"/>
        <v>Externe</v>
      </c>
      <c r="N140" t="str">
        <f t="shared" si="17"/>
        <v>-</v>
      </c>
      <c r="O140" t="str">
        <f t="shared" si="18"/>
        <v>-</v>
      </c>
      <c r="P140" t="str">
        <f t="shared" si="19"/>
        <v>Kat. 1</v>
      </c>
      <c r="R140"/>
      <c r="S140"/>
      <c r="T140"/>
      <c r="U140"/>
      <c r="V140"/>
      <c r="W140"/>
      <c r="X140"/>
      <c r="Y140"/>
    </row>
    <row r="141" spans="1:25" s="95" customFormat="1" x14ac:dyDescent="0.35">
      <c r="A141" s="285" t="s">
        <v>384</v>
      </c>
      <c r="B141"/>
      <c r="C141" s="95" t="str">
        <f>CONCATENATE(EFs_Externe[[#This Row],[Thema]]," - ",EFs_Externe[[#This Row],[Bezeichnung]])</f>
        <v xml:space="preserve">Externe - </v>
      </c>
      <c r="D141" s="286" t="str">
        <f t="shared" si="16"/>
        <v>Externe</v>
      </c>
      <c r="N141" s="95" t="str">
        <f t="shared" si="17"/>
        <v>-</v>
      </c>
      <c r="O141" s="95" t="str">
        <f t="shared" si="18"/>
        <v>-</v>
      </c>
      <c r="P141" s="95" t="str">
        <f t="shared" si="19"/>
        <v>Kat. 1</v>
      </c>
      <c r="R141"/>
      <c r="S141"/>
      <c r="T141"/>
      <c r="U141"/>
      <c r="V141"/>
      <c r="W141"/>
      <c r="X141"/>
      <c r="Y141"/>
    </row>
    <row r="142" spans="1:25" s="95" customFormat="1" x14ac:dyDescent="0.35">
      <c r="A142" s="285" t="s">
        <v>384</v>
      </c>
      <c r="B142"/>
      <c r="C142" s="95" t="str">
        <f>CONCATENATE(EFs_Externe[[#This Row],[Thema]]," - ",EFs_Externe[[#This Row],[Bezeichnung]])</f>
        <v xml:space="preserve">Externe - </v>
      </c>
      <c r="D142" s="286" t="str">
        <f t="shared" si="16"/>
        <v>Externe</v>
      </c>
      <c r="N142" s="95" t="str">
        <f t="shared" si="17"/>
        <v>-</v>
      </c>
      <c r="O142" s="95" t="str">
        <f t="shared" si="18"/>
        <v>-</v>
      </c>
      <c r="P142" s="95" t="str">
        <f t="shared" si="19"/>
        <v>Kat. 1</v>
      </c>
      <c r="R142"/>
      <c r="S142"/>
      <c r="T142"/>
      <c r="U142"/>
      <c r="V142"/>
      <c r="W142"/>
      <c r="X142"/>
      <c r="Y142"/>
    </row>
    <row r="143" spans="1:25" x14ac:dyDescent="0.35">
      <c r="D143" s="2"/>
    </row>
    <row r="144" spans="1:25" ht="30" customHeight="1" x14ac:dyDescent="0.35">
      <c r="A144" s="471" t="s">
        <v>387</v>
      </c>
      <c r="B144" s="471"/>
      <c r="C144" s="159" t="s">
        <v>51</v>
      </c>
      <c r="D144" s="159" t="s">
        <v>0</v>
      </c>
      <c r="E144" s="159" t="s">
        <v>1</v>
      </c>
      <c r="F144" s="159" t="s">
        <v>59</v>
      </c>
      <c r="G144" s="159" t="s">
        <v>5</v>
      </c>
      <c r="H144" s="159" t="s">
        <v>6</v>
      </c>
      <c r="I144" s="159" t="s">
        <v>7</v>
      </c>
      <c r="J144" s="159" t="s">
        <v>2</v>
      </c>
      <c r="K144" s="159" t="s">
        <v>3</v>
      </c>
      <c r="L144" s="159" t="s">
        <v>4</v>
      </c>
      <c r="M144" s="159" t="s">
        <v>25</v>
      </c>
      <c r="N144" s="159" t="s">
        <v>314</v>
      </c>
      <c r="O144" s="159" t="s">
        <v>315</v>
      </c>
      <c r="P144" s="159" t="s">
        <v>316</v>
      </c>
    </row>
    <row r="145" spans="1:25" x14ac:dyDescent="0.35">
      <c r="A145" s="471"/>
      <c r="B145" s="471"/>
      <c r="C145" t="str">
        <f>CONCATENATE(EFs_Warentransporte[[#This Row],[Thema]]," - ",EFs_Warentransporte[[#This Row],[Bezeichnung]])</f>
        <v>Warentransporte - Straße: LKW Durchschnitt</v>
      </c>
      <c r="D145" s="2" t="str">
        <f t="shared" ref="D145:D163" si="20">"Warentransporte"</f>
        <v>Warentransporte</v>
      </c>
      <c r="E145" t="s">
        <v>452</v>
      </c>
      <c r="F145" t="s">
        <v>40</v>
      </c>
      <c r="G145">
        <v>0</v>
      </c>
      <c r="H145">
        <v>0</v>
      </c>
      <c r="I145">
        <v>0.121</v>
      </c>
      <c r="J145">
        <v>0</v>
      </c>
      <c r="K145">
        <v>0</v>
      </c>
      <c r="L145" t="s">
        <v>532</v>
      </c>
      <c r="M145" t="s">
        <v>140</v>
      </c>
      <c r="N145" t="s">
        <v>140</v>
      </c>
      <c r="O145" t="s">
        <v>140</v>
      </c>
      <c r="P145" t="s">
        <v>100</v>
      </c>
    </row>
    <row r="146" spans="1:25" ht="18.5" x14ac:dyDescent="0.35">
      <c r="A146" s="330"/>
      <c r="B146" s="330"/>
      <c r="C146" t="str">
        <f>CONCATENATE(EFs_Warentransporte[[#This Row],[Thema]]," - ",EFs_Warentransporte[[#This Row],[Bezeichnung]])</f>
        <v>Warentransporte - Straße: LKW &lt;7,5 t</v>
      </c>
      <c r="D146" s="2" t="str">
        <f>"Warentransporte"</f>
        <v>Warentransporte</v>
      </c>
      <c r="E146" t="s">
        <v>60</v>
      </c>
      <c r="F146" t="s">
        <v>40</v>
      </c>
      <c r="G146">
        <v>0</v>
      </c>
      <c r="H146">
        <v>0</v>
      </c>
      <c r="I146">
        <v>0.56899999999999995</v>
      </c>
      <c r="J146" t="s">
        <v>140</v>
      </c>
      <c r="K146" t="s">
        <v>140</v>
      </c>
      <c r="L146" t="s">
        <v>533</v>
      </c>
      <c r="M146" t="s">
        <v>140</v>
      </c>
      <c r="N146" t="s">
        <v>140</v>
      </c>
      <c r="O146" t="s">
        <v>140</v>
      </c>
      <c r="P146" t="s">
        <v>100</v>
      </c>
    </row>
    <row r="147" spans="1:25" x14ac:dyDescent="0.35">
      <c r="C147" t="str">
        <f>CONCATENATE(EFs_Warentransporte[[#This Row],[Thema]]," - ",EFs_Warentransporte[[#This Row],[Bezeichnung]])</f>
        <v>Warentransporte - Straße: LKW 7,5-12 t</v>
      </c>
      <c r="D147" s="2" t="str">
        <f t="shared" si="20"/>
        <v>Warentransporte</v>
      </c>
      <c r="E147" t="s">
        <v>67</v>
      </c>
      <c r="F147" t="s">
        <v>40</v>
      </c>
      <c r="G147">
        <v>0</v>
      </c>
      <c r="H147">
        <v>0</v>
      </c>
      <c r="I147">
        <v>0.39800000000000002</v>
      </c>
      <c r="J147" t="s">
        <v>140</v>
      </c>
      <c r="K147" t="s">
        <v>140</v>
      </c>
      <c r="L147" t="s">
        <v>534</v>
      </c>
      <c r="M147" t="s">
        <v>140</v>
      </c>
      <c r="N147" t="s">
        <v>140</v>
      </c>
      <c r="O147" t="s">
        <v>140</v>
      </c>
      <c r="P147" t="s">
        <v>100</v>
      </c>
    </row>
    <row r="148" spans="1:25" x14ac:dyDescent="0.35">
      <c r="C148" t="str">
        <f>CONCATENATE(EFs_Warentransporte[[#This Row],[Thema]]," - ",EFs_Warentransporte[[#This Row],[Bezeichnung]])</f>
        <v>Warentransporte - Straße: LKW 12-24 t</v>
      </c>
      <c r="D148" s="2" t="str">
        <f t="shared" si="20"/>
        <v>Warentransporte</v>
      </c>
      <c r="E148" t="s">
        <v>68</v>
      </c>
      <c r="F148" t="s">
        <v>40</v>
      </c>
      <c r="G148">
        <v>0</v>
      </c>
      <c r="H148">
        <v>0</v>
      </c>
      <c r="I148">
        <v>0.253</v>
      </c>
      <c r="J148" t="s">
        <v>140</v>
      </c>
      <c r="K148" t="s">
        <v>140</v>
      </c>
      <c r="L148" t="s">
        <v>535</v>
      </c>
      <c r="M148" t="s">
        <v>140</v>
      </c>
      <c r="N148" t="s">
        <v>140</v>
      </c>
      <c r="O148" t="s">
        <v>140</v>
      </c>
      <c r="P148" t="s">
        <v>100</v>
      </c>
    </row>
    <row r="149" spans="1:25" x14ac:dyDescent="0.35">
      <c r="C149" t="str">
        <f>CONCATENATE(EFs_Warentransporte[[#This Row],[Thema]]," - ",EFs_Warentransporte[[#This Row],[Bezeichnung]])</f>
        <v>Warentransporte - Straße: Last-/Sattelzug 24-40 t</v>
      </c>
      <c r="D149" s="2" t="str">
        <f t="shared" si="20"/>
        <v>Warentransporte</v>
      </c>
      <c r="E149" t="s">
        <v>337</v>
      </c>
      <c r="F149" t="s">
        <v>40</v>
      </c>
      <c r="G149">
        <v>0</v>
      </c>
      <c r="H149">
        <v>0</v>
      </c>
      <c r="I149">
        <v>0.10299999999999999</v>
      </c>
      <c r="J149" t="s">
        <v>140</v>
      </c>
      <c r="K149" t="s">
        <v>140</v>
      </c>
      <c r="L149" t="s">
        <v>536</v>
      </c>
      <c r="M149" t="s">
        <v>140</v>
      </c>
      <c r="N149" t="s">
        <v>140</v>
      </c>
      <c r="O149" t="s">
        <v>140</v>
      </c>
      <c r="P149" t="s">
        <v>100</v>
      </c>
    </row>
    <row r="150" spans="1:25" x14ac:dyDescent="0.35">
      <c r="C150" t="str">
        <f>CONCATENATE(EFs_Warentransporte[[#This Row],[Thema]]," - ",EFs_Warentransporte[[#This Row],[Bezeichnung]])</f>
        <v>Warentransporte - Schiene: Zug Durchschnitt</v>
      </c>
      <c r="D150" s="2" t="str">
        <f>"Warentransporte"</f>
        <v>Warentransporte</v>
      </c>
      <c r="E150" t="s">
        <v>453</v>
      </c>
      <c r="F150" t="s">
        <v>40</v>
      </c>
      <c r="G150">
        <v>0</v>
      </c>
      <c r="H150">
        <v>0</v>
      </c>
      <c r="I150">
        <v>1.6E-2</v>
      </c>
      <c r="J150" t="s">
        <v>140</v>
      </c>
      <c r="K150" t="s">
        <v>140</v>
      </c>
      <c r="L150" t="s">
        <v>537</v>
      </c>
      <c r="M150" t="s">
        <v>140</v>
      </c>
      <c r="N150" t="s">
        <v>140</v>
      </c>
      <c r="O150" t="s">
        <v>140</v>
      </c>
      <c r="P150" t="s">
        <v>100</v>
      </c>
    </row>
    <row r="151" spans="1:25" x14ac:dyDescent="0.35">
      <c r="C151" t="str">
        <f>CONCATENATE(EFs_Warentransporte[[#This Row],[Thema]]," - ",EFs_Warentransporte[[#This Row],[Bezeichnung]])</f>
        <v>Warentransporte - Schiene: Zug mit Elektrotraktion</v>
      </c>
      <c r="D151" s="2" t="str">
        <f t="shared" si="20"/>
        <v>Warentransporte</v>
      </c>
      <c r="E151" t="s">
        <v>61</v>
      </c>
      <c r="F151" t="s">
        <v>40</v>
      </c>
      <c r="G151">
        <v>0</v>
      </c>
      <c r="H151">
        <v>0</v>
      </c>
      <c r="I151">
        <v>1.4999999999999999E-2</v>
      </c>
      <c r="J151" t="s">
        <v>140</v>
      </c>
      <c r="K151" t="s">
        <v>140</v>
      </c>
      <c r="L151" t="s">
        <v>538</v>
      </c>
      <c r="M151" t="s">
        <v>140</v>
      </c>
      <c r="N151" t="s">
        <v>140</v>
      </c>
      <c r="O151" t="s">
        <v>140</v>
      </c>
      <c r="P151" t="s">
        <v>100</v>
      </c>
    </row>
    <row r="152" spans="1:25" x14ac:dyDescent="0.35">
      <c r="C152" t="str">
        <f>CONCATENATE(EFs_Warentransporte[[#This Row],[Thema]]," - ",EFs_Warentransporte[[#This Row],[Bezeichnung]])</f>
        <v>Warentransporte - Schiene: Zug mit Dieseltraktion</v>
      </c>
      <c r="D152" s="2" t="str">
        <f t="shared" si="20"/>
        <v>Warentransporte</v>
      </c>
      <c r="E152" t="s">
        <v>62</v>
      </c>
      <c r="F152" t="s">
        <v>40</v>
      </c>
      <c r="G152">
        <v>0</v>
      </c>
      <c r="H152">
        <v>0</v>
      </c>
      <c r="I152">
        <v>2.8000000000000001E-2</v>
      </c>
      <c r="J152" t="s">
        <v>140</v>
      </c>
      <c r="K152" t="s">
        <v>140</v>
      </c>
      <c r="L152" t="s">
        <v>539</v>
      </c>
      <c r="M152" t="s">
        <v>140</v>
      </c>
      <c r="N152" t="s">
        <v>140</v>
      </c>
      <c r="O152" t="s">
        <v>140</v>
      </c>
      <c r="P152" t="s">
        <v>100</v>
      </c>
    </row>
    <row r="153" spans="1:25" x14ac:dyDescent="0.35">
      <c r="C153" t="str">
        <f>CONCATENATE(EFs_Warentransporte[[#This Row],[Thema]]," - ",EFs_Warentransporte[[#This Row],[Bezeichnung]])</f>
        <v>Warentransporte - See: Containerschiff</v>
      </c>
      <c r="D153" s="2" t="str">
        <f t="shared" si="20"/>
        <v>Warentransporte</v>
      </c>
      <c r="E153" t="s">
        <v>63</v>
      </c>
      <c r="F153" t="s">
        <v>40</v>
      </c>
      <c r="G153">
        <v>0</v>
      </c>
      <c r="H153">
        <v>0</v>
      </c>
      <c r="I153">
        <v>1.7000000000000001E-2</v>
      </c>
      <c r="J153" t="s">
        <v>140</v>
      </c>
      <c r="K153" t="s">
        <v>140</v>
      </c>
      <c r="L153" t="s">
        <v>540</v>
      </c>
      <c r="M153" t="s">
        <v>140</v>
      </c>
      <c r="N153" t="s">
        <v>140</v>
      </c>
      <c r="O153" t="s">
        <v>140</v>
      </c>
      <c r="P153" t="s">
        <v>100</v>
      </c>
    </row>
    <row r="154" spans="1:25" x14ac:dyDescent="0.35">
      <c r="C154" t="str">
        <f>CONCATENATE(EFs_Warentransporte[[#This Row],[Thema]]," - ",EFs_Warentransporte[[#This Row],[Bezeichnung]])</f>
        <v>Warentransporte - See: Massengutfrachter</v>
      </c>
      <c r="D154" s="2" t="str">
        <f t="shared" si="20"/>
        <v>Warentransporte</v>
      </c>
      <c r="E154" t="s">
        <v>64</v>
      </c>
      <c r="F154" t="s">
        <v>40</v>
      </c>
      <c r="G154">
        <v>0</v>
      </c>
      <c r="H154">
        <v>0</v>
      </c>
      <c r="I154">
        <v>6.0000000000000001E-3</v>
      </c>
      <c r="J154" t="s">
        <v>140</v>
      </c>
      <c r="K154" t="s">
        <v>140</v>
      </c>
      <c r="L154" t="s">
        <v>541</v>
      </c>
      <c r="M154" t="s">
        <v>140</v>
      </c>
      <c r="N154" t="s">
        <v>140</v>
      </c>
      <c r="O154" t="s">
        <v>140</v>
      </c>
      <c r="P154" t="s">
        <v>100</v>
      </c>
    </row>
    <row r="155" spans="1:25" x14ac:dyDescent="0.35">
      <c r="C155" t="str">
        <f>CONCATENATE(EFs_Warentransporte[[#This Row],[Thema]]," - ",EFs_Warentransporte[[#This Row],[Bezeichnung]])</f>
        <v>Warentransporte - See: Binnenschiff</v>
      </c>
      <c r="D155" s="2" t="str">
        <f t="shared" si="20"/>
        <v>Warentransporte</v>
      </c>
      <c r="E155" t="s">
        <v>224</v>
      </c>
      <c r="F155" t="s">
        <v>40</v>
      </c>
      <c r="G155">
        <v>0</v>
      </c>
      <c r="H155">
        <v>0</v>
      </c>
      <c r="I155">
        <v>3.1E-2</v>
      </c>
      <c r="J155" t="s">
        <v>140</v>
      </c>
      <c r="K155" t="s">
        <v>140</v>
      </c>
      <c r="L155" t="s">
        <v>542</v>
      </c>
      <c r="M155" t="s">
        <v>140</v>
      </c>
      <c r="N155" t="s">
        <v>140</v>
      </c>
      <c r="O155" t="s">
        <v>140</v>
      </c>
      <c r="P155" t="s">
        <v>100</v>
      </c>
    </row>
    <row r="156" spans="1:25" x14ac:dyDescent="0.35">
      <c r="C156" t="str">
        <f>CONCATENATE(EFs_Warentransporte[[#This Row],[Thema]]," - ",EFs_Warentransporte[[#This Row],[Bezeichnung]])</f>
        <v>Warentransporte - Luft: Frachtflugzeug</v>
      </c>
      <c r="D156" s="2" t="str">
        <f t="shared" si="20"/>
        <v>Warentransporte</v>
      </c>
      <c r="E156" t="s">
        <v>65</v>
      </c>
      <c r="F156" t="s">
        <v>40</v>
      </c>
      <c r="G156">
        <v>0</v>
      </c>
      <c r="H156">
        <v>0</v>
      </c>
      <c r="I156">
        <v>0.57399999999999995</v>
      </c>
      <c r="J156" t="s">
        <v>140</v>
      </c>
      <c r="K156" t="s">
        <v>140</v>
      </c>
      <c r="L156" t="s">
        <v>543</v>
      </c>
      <c r="M156" t="s">
        <v>140</v>
      </c>
      <c r="N156" t="s">
        <v>140</v>
      </c>
      <c r="O156" t="s">
        <v>140</v>
      </c>
      <c r="P156" t="s">
        <v>100</v>
      </c>
    </row>
    <row r="157" spans="1:25" x14ac:dyDescent="0.35">
      <c r="C157" t="str">
        <f>CONCATENATE(EFs_Warentransporte[[#This Row],[Thema]]," - ",EFs_Warentransporte[[#This Row],[Bezeichnung]])</f>
        <v>Warentransporte - Luft: Belly-Fracht</v>
      </c>
      <c r="D157" s="2" t="str">
        <f t="shared" si="20"/>
        <v>Warentransporte</v>
      </c>
      <c r="E157" t="s">
        <v>66</v>
      </c>
      <c r="F157" t="s">
        <v>40</v>
      </c>
      <c r="G157">
        <v>0</v>
      </c>
      <c r="H157">
        <v>0</v>
      </c>
      <c r="I157">
        <v>1.0009999999999999</v>
      </c>
      <c r="J157" t="s">
        <v>140</v>
      </c>
      <c r="K157" t="s">
        <v>140</v>
      </c>
      <c r="L157" t="s">
        <v>543</v>
      </c>
      <c r="M157" t="s">
        <v>140</v>
      </c>
      <c r="N157" t="s">
        <v>140</v>
      </c>
      <c r="O157" t="s">
        <v>140</v>
      </c>
      <c r="P157" t="s">
        <v>100</v>
      </c>
    </row>
    <row r="158" spans="1:25" x14ac:dyDescent="0.35">
      <c r="C158" t="str">
        <f>CONCATENATE(EFs_Warentransporte[[#This Row],[Thema]]," - ",EFs_Warentransporte[[#This Row],[Bezeichnung]])</f>
        <v>Warentransporte - Extern ermittelte Emissionen</v>
      </c>
      <c r="D158" s="2" t="str">
        <f t="shared" si="20"/>
        <v>Warentransporte</v>
      </c>
      <c r="E158" t="s">
        <v>145</v>
      </c>
      <c r="F158" t="s">
        <v>69</v>
      </c>
      <c r="G158">
        <v>0</v>
      </c>
      <c r="H158">
        <v>0</v>
      </c>
      <c r="I158">
        <v>1</v>
      </c>
      <c r="J158" t="s">
        <v>140</v>
      </c>
      <c r="K158" t="s">
        <v>140</v>
      </c>
      <c r="L158" t="s">
        <v>140</v>
      </c>
      <c r="M158" t="s">
        <v>140</v>
      </c>
      <c r="N158" t="s">
        <v>140</v>
      </c>
      <c r="O158" t="s">
        <v>140</v>
      </c>
      <c r="P158" t="s">
        <v>100</v>
      </c>
    </row>
    <row r="159" spans="1:25" s="95" customFormat="1" x14ac:dyDescent="0.35">
      <c r="A159" s="285" t="s">
        <v>384</v>
      </c>
      <c r="B159"/>
      <c r="C159" s="95" t="str">
        <f>CONCATENATE(EFs_Warentransporte[[#This Row],[Thema]]," - ",EFs_Warentransporte[[#This Row],[Bezeichnung]])</f>
        <v xml:space="preserve">Warentransporte - </v>
      </c>
      <c r="D159" s="2" t="str">
        <f t="shared" si="20"/>
        <v>Warentransporte</v>
      </c>
      <c r="N159" t="str">
        <f t="shared" ref="N159:N163" si="21">"-"</f>
        <v>-</v>
      </c>
      <c r="O159" t="str">
        <f t="shared" ref="O159:O163" si="22">"-"</f>
        <v>-</v>
      </c>
      <c r="P159" t="str">
        <f t="shared" ref="P159:P163" si="23">"Kat. 4"</f>
        <v>Kat. 4</v>
      </c>
      <c r="R159"/>
      <c r="S159"/>
      <c r="T159"/>
      <c r="U159"/>
      <c r="V159"/>
      <c r="W159"/>
      <c r="X159"/>
      <c r="Y159"/>
    </row>
    <row r="160" spans="1:25" s="95" customFormat="1" x14ac:dyDescent="0.35">
      <c r="A160" s="285" t="s">
        <v>384</v>
      </c>
      <c r="B160"/>
      <c r="C160" s="95" t="str">
        <f>CONCATENATE(EFs_Warentransporte[[#This Row],[Thema]]," - ",EFs_Warentransporte[[#This Row],[Bezeichnung]])</f>
        <v xml:space="preserve">Warentransporte - </v>
      </c>
      <c r="D160" s="2" t="str">
        <f t="shared" si="20"/>
        <v>Warentransporte</v>
      </c>
      <c r="N160" t="str">
        <f t="shared" si="21"/>
        <v>-</v>
      </c>
      <c r="O160" t="str">
        <f t="shared" si="22"/>
        <v>-</v>
      </c>
      <c r="P160" t="str">
        <f t="shared" si="23"/>
        <v>Kat. 4</v>
      </c>
      <c r="R160"/>
      <c r="S160"/>
      <c r="T160"/>
      <c r="U160"/>
      <c r="V160"/>
      <c r="W160"/>
      <c r="X160"/>
      <c r="Y160"/>
    </row>
    <row r="161" spans="1:25" s="95" customFormat="1" x14ac:dyDescent="0.35">
      <c r="A161" s="285" t="s">
        <v>384</v>
      </c>
      <c r="B161"/>
      <c r="C161" s="95" t="str">
        <f>CONCATENATE(EFs_Warentransporte[[#This Row],[Thema]]," - ",EFs_Warentransporte[[#This Row],[Bezeichnung]])</f>
        <v xml:space="preserve">Warentransporte - </v>
      </c>
      <c r="D161" s="2" t="str">
        <f t="shared" si="20"/>
        <v>Warentransporte</v>
      </c>
      <c r="N161" t="str">
        <f t="shared" si="21"/>
        <v>-</v>
      </c>
      <c r="O161" t="str">
        <f t="shared" si="22"/>
        <v>-</v>
      </c>
      <c r="P161" t="str">
        <f t="shared" si="23"/>
        <v>Kat. 4</v>
      </c>
      <c r="R161"/>
      <c r="S161"/>
      <c r="T161"/>
      <c r="U161"/>
      <c r="V161"/>
      <c r="W161"/>
      <c r="X161"/>
      <c r="Y161"/>
    </row>
    <row r="162" spans="1:25" s="95" customFormat="1" x14ac:dyDescent="0.35">
      <c r="A162" s="285" t="s">
        <v>384</v>
      </c>
      <c r="B162"/>
      <c r="C162" s="95" t="str">
        <f>CONCATENATE(EFs_Warentransporte[[#This Row],[Thema]]," - ",EFs_Warentransporte[[#This Row],[Bezeichnung]])</f>
        <v xml:space="preserve">Warentransporte - </v>
      </c>
      <c r="D162" s="286" t="str">
        <f t="shared" si="20"/>
        <v>Warentransporte</v>
      </c>
      <c r="N162" s="95" t="str">
        <f t="shared" si="21"/>
        <v>-</v>
      </c>
      <c r="O162" s="95" t="str">
        <f t="shared" si="22"/>
        <v>-</v>
      </c>
      <c r="P162" s="95" t="str">
        <f t="shared" si="23"/>
        <v>Kat. 4</v>
      </c>
      <c r="R162"/>
      <c r="S162"/>
      <c r="T162"/>
      <c r="U162"/>
      <c r="V162"/>
      <c r="W162"/>
      <c r="X162"/>
      <c r="Y162"/>
    </row>
    <row r="163" spans="1:25" s="95" customFormat="1" x14ac:dyDescent="0.35">
      <c r="A163" s="285" t="s">
        <v>384</v>
      </c>
      <c r="B163"/>
      <c r="C163" s="95" t="str">
        <f>CONCATENATE(EFs_Warentransporte[[#This Row],[Thema]]," - ",EFs_Warentransporte[[#This Row],[Bezeichnung]])</f>
        <v xml:space="preserve">Warentransporte - </v>
      </c>
      <c r="D163" s="286" t="str">
        <f t="shared" si="20"/>
        <v>Warentransporte</v>
      </c>
      <c r="N163" s="95" t="str">
        <f t="shared" si="21"/>
        <v>-</v>
      </c>
      <c r="O163" s="95" t="str">
        <f t="shared" si="22"/>
        <v>-</v>
      </c>
      <c r="P163" s="95" t="str">
        <f t="shared" si="23"/>
        <v>Kat. 4</v>
      </c>
      <c r="R163"/>
      <c r="S163"/>
      <c r="T163"/>
      <c r="U163"/>
      <c r="V163"/>
      <c r="W163"/>
      <c r="X163"/>
      <c r="Y163"/>
    </row>
    <row r="164" spans="1:25" x14ac:dyDescent="0.35">
      <c r="D164" s="2"/>
    </row>
    <row r="165" spans="1:25" ht="30" customHeight="1" x14ac:dyDescent="0.35">
      <c r="A165" s="471" t="s">
        <v>339</v>
      </c>
      <c r="B165" s="471"/>
      <c r="C165" s="159" t="s">
        <v>51</v>
      </c>
      <c r="D165" s="159" t="s">
        <v>0</v>
      </c>
      <c r="E165" s="159" t="s">
        <v>1</v>
      </c>
      <c r="F165" s="159" t="s">
        <v>59</v>
      </c>
      <c r="G165" s="159" t="s">
        <v>5</v>
      </c>
      <c r="H165" s="159" t="s">
        <v>6</v>
      </c>
      <c r="I165" s="159" t="s">
        <v>7</v>
      </c>
      <c r="J165" s="159" t="s">
        <v>2</v>
      </c>
      <c r="K165" s="159" t="s">
        <v>3</v>
      </c>
      <c r="L165" s="159" t="s">
        <v>4</v>
      </c>
      <c r="M165" s="159" t="s">
        <v>25</v>
      </c>
      <c r="N165" s="159" t="s">
        <v>314</v>
      </c>
      <c r="O165" s="159" t="s">
        <v>315</v>
      </c>
      <c r="P165" s="159" t="s">
        <v>316</v>
      </c>
    </row>
    <row r="166" spans="1:25" x14ac:dyDescent="0.35">
      <c r="A166" s="471"/>
      <c r="B166" s="471"/>
      <c r="C166" t="str">
        <f>CONCATENATE(EFs_Medien[[#This Row],[Thema]]," - ",EFs_Medien[[#This Row],[Bezeichnung]])</f>
        <v>Medien - Bücher (kg)</v>
      </c>
      <c r="D166" s="2" t="str">
        <f t="shared" ref="D166:D176" si="24">"Medien"</f>
        <v>Medien</v>
      </c>
      <c r="E166" t="s">
        <v>130</v>
      </c>
      <c r="F166" t="s">
        <v>30</v>
      </c>
      <c r="G166">
        <v>0</v>
      </c>
      <c r="H166">
        <v>0</v>
      </c>
      <c r="I166">
        <v>3.6666666999999999</v>
      </c>
      <c r="J166" t="s">
        <v>140</v>
      </c>
      <c r="K166" t="s">
        <v>140</v>
      </c>
      <c r="L166" t="s">
        <v>544</v>
      </c>
      <c r="M166" t="s">
        <v>545</v>
      </c>
      <c r="N166" t="s">
        <v>140</v>
      </c>
      <c r="O166" t="s">
        <v>140</v>
      </c>
      <c r="P166" t="s">
        <v>97</v>
      </c>
    </row>
    <row r="167" spans="1:25" x14ac:dyDescent="0.35">
      <c r="C167" t="str">
        <f>CONCATENATE(EFs_Medien[[#This Row],[Thema]]," - ",EFs_Medien[[#This Row],[Bezeichnung]])</f>
        <v>Medien - Bücher (Stück)</v>
      </c>
      <c r="D167" s="2" t="str">
        <f t="shared" si="24"/>
        <v>Medien</v>
      </c>
      <c r="E167" t="s">
        <v>272</v>
      </c>
      <c r="F167" t="s">
        <v>41</v>
      </c>
      <c r="G167">
        <v>0</v>
      </c>
      <c r="H167">
        <v>0</v>
      </c>
      <c r="I167">
        <v>1.1000000000000001</v>
      </c>
      <c r="J167" t="s">
        <v>140</v>
      </c>
      <c r="K167" t="s">
        <v>140</v>
      </c>
      <c r="L167" t="s">
        <v>546</v>
      </c>
      <c r="M167" t="s">
        <v>547</v>
      </c>
      <c r="N167" t="s">
        <v>140</v>
      </c>
      <c r="O167" t="s">
        <v>140</v>
      </c>
      <c r="P167" t="s">
        <v>97</v>
      </c>
    </row>
    <row r="168" spans="1:25" x14ac:dyDescent="0.35">
      <c r="C168" t="str">
        <f>CONCATENATE(EFs_Medien[[#This Row],[Thema]]," - ",EFs_Medien[[#This Row],[Bezeichnung]])</f>
        <v>Medien - CDs (kg)</v>
      </c>
      <c r="D168" s="2" t="str">
        <f t="shared" si="24"/>
        <v>Medien</v>
      </c>
      <c r="E168" t="s">
        <v>131</v>
      </c>
      <c r="F168" t="s">
        <v>30</v>
      </c>
      <c r="G168">
        <v>0</v>
      </c>
      <c r="H168">
        <v>0</v>
      </c>
      <c r="I168">
        <v>8.5975000000000001</v>
      </c>
      <c r="J168" t="s">
        <v>140</v>
      </c>
      <c r="K168" t="s">
        <v>140</v>
      </c>
      <c r="L168" t="s">
        <v>548</v>
      </c>
      <c r="M168" t="s">
        <v>549</v>
      </c>
      <c r="N168" t="s">
        <v>140</v>
      </c>
      <c r="O168" t="s">
        <v>140</v>
      </c>
      <c r="P168" t="s">
        <v>97</v>
      </c>
    </row>
    <row r="169" spans="1:25" x14ac:dyDescent="0.35">
      <c r="C169" t="str">
        <f>CONCATENATE(EFs_Medien[[#This Row],[Thema]]," - ",EFs_Medien[[#This Row],[Bezeichnung]])</f>
        <v>Medien - CDs (Stück)</v>
      </c>
      <c r="D169" s="2" t="str">
        <f t="shared" si="24"/>
        <v>Medien</v>
      </c>
      <c r="E169" t="s">
        <v>273</v>
      </c>
      <c r="F169" t="s">
        <v>41</v>
      </c>
      <c r="G169">
        <v>0</v>
      </c>
      <c r="H169">
        <v>0</v>
      </c>
      <c r="I169">
        <v>0.13755999999999999</v>
      </c>
      <c r="J169" t="s">
        <v>140</v>
      </c>
      <c r="K169" t="s">
        <v>140</v>
      </c>
      <c r="L169" t="s">
        <v>548</v>
      </c>
      <c r="M169" t="s">
        <v>550</v>
      </c>
      <c r="N169" t="s">
        <v>140</v>
      </c>
      <c r="O169" t="s">
        <v>140</v>
      </c>
      <c r="P169" t="s">
        <v>97</v>
      </c>
    </row>
    <row r="170" spans="1:25" x14ac:dyDescent="0.35">
      <c r="C170" t="str">
        <f>CONCATENATE(EFs_Medien[[#This Row],[Thema]]," - ",EFs_Medien[[#This Row],[Bezeichnung]])</f>
        <v>Medien - DVDs (kg)</v>
      </c>
      <c r="D170" s="2" t="str">
        <f t="shared" si="24"/>
        <v>Medien</v>
      </c>
      <c r="E170" t="s">
        <v>132</v>
      </c>
      <c r="F170" t="s">
        <v>30</v>
      </c>
      <c r="G170">
        <v>0</v>
      </c>
      <c r="H170">
        <v>0</v>
      </c>
      <c r="I170">
        <v>8.5975000000000001</v>
      </c>
      <c r="J170" t="s">
        <v>140</v>
      </c>
      <c r="K170" t="s">
        <v>140</v>
      </c>
      <c r="L170" t="s">
        <v>548</v>
      </c>
      <c r="M170" t="s">
        <v>549</v>
      </c>
      <c r="N170" t="s">
        <v>140</v>
      </c>
      <c r="O170" t="s">
        <v>140</v>
      </c>
      <c r="P170" t="s">
        <v>97</v>
      </c>
    </row>
    <row r="171" spans="1:25" x14ac:dyDescent="0.35">
      <c r="C171" t="str">
        <f>CONCATENATE(EFs_Medien[[#This Row],[Thema]]," - ",EFs_Medien[[#This Row],[Bezeichnung]])</f>
        <v>Medien - DVDs (Stück)</v>
      </c>
      <c r="D171" s="2" t="str">
        <f t="shared" si="24"/>
        <v>Medien</v>
      </c>
      <c r="E171" t="s">
        <v>274</v>
      </c>
      <c r="F171" t="s">
        <v>41</v>
      </c>
      <c r="G171">
        <v>0</v>
      </c>
      <c r="H171">
        <v>0</v>
      </c>
      <c r="I171">
        <v>0.13755999999999999</v>
      </c>
      <c r="J171" t="s">
        <v>140</v>
      </c>
      <c r="K171" t="s">
        <v>140</v>
      </c>
      <c r="L171" t="s">
        <v>548</v>
      </c>
      <c r="M171" t="s">
        <v>550</v>
      </c>
      <c r="N171" t="s">
        <v>140</v>
      </c>
      <c r="O171" t="s">
        <v>140</v>
      </c>
      <c r="P171" t="s">
        <v>97</v>
      </c>
    </row>
    <row r="172" spans="1:25" s="95" customFormat="1" x14ac:dyDescent="0.35">
      <c r="A172" s="285" t="s">
        <v>384</v>
      </c>
      <c r="B172"/>
      <c r="C172" s="95" t="str">
        <f>CONCATENATE(EFs_Medien[[#This Row],[Thema]]," - ",EFs_Medien[[#This Row],[Bezeichnung]])</f>
        <v xml:space="preserve">Medien - </v>
      </c>
      <c r="D172" s="2" t="str">
        <f t="shared" si="24"/>
        <v>Medien</v>
      </c>
      <c r="N172" t="str">
        <f t="shared" ref="N172:N176" si="25">"-"</f>
        <v>-</v>
      </c>
      <c r="O172" t="str">
        <f t="shared" ref="O172:O176" si="26">"-"</f>
        <v>-</v>
      </c>
      <c r="P172" t="str">
        <f t="shared" ref="P172:P176" si="27">"Kat. 1"</f>
        <v>Kat. 1</v>
      </c>
      <c r="R172"/>
      <c r="S172"/>
      <c r="T172"/>
      <c r="U172"/>
      <c r="V172"/>
      <c r="W172"/>
      <c r="X172"/>
      <c r="Y172"/>
    </row>
    <row r="173" spans="1:25" s="95" customFormat="1" x14ac:dyDescent="0.35">
      <c r="A173" s="285" t="s">
        <v>384</v>
      </c>
      <c r="B173"/>
      <c r="C173" s="95" t="str">
        <f>CONCATENATE(EFs_Medien[[#This Row],[Thema]]," - ",EFs_Medien[[#This Row],[Bezeichnung]])</f>
        <v xml:space="preserve">Medien - </v>
      </c>
      <c r="D173" s="2" t="str">
        <f t="shared" si="24"/>
        <v>Medien</v>
      </c>
      <c r="N173" t="str">
        <f t="shared" si="25"/>
        <v>-</v>
      </c>
      <c r="O173" t="str">
        <f t="shared" si="26"/>
        <v>-</v>
      </c>
      <c r="P173" t="str">
        <f t="shared" si="27"/>
        <v>Kat. 1</v>
      </c>
      <c r="R173"/>
      <c r="S173"/>
      <c r="T173"/>
      <c r="U173"/>
      <c r="V173"/>
      <c r="W173"/>
      <c r="X173"/>
      <c r="Y173"/>
    </row>
    <row r="174" spans="1:25" s="95" customFormat="1" x14ac:dyDescent="0.35">
      <c r="A174" s="285" t="s">
        <v>384</v>
      </c>
      <c r="B174"/>
      <c r="C174" s="95" t="str">
        <f>CONCATENATE(EFs_Medien[[#This Row],[Thema]]," - ",EFs_Medien[[#This Row],[Bezeichnung]])</f>
        <v xml:space="preserve">Medien - </v>
      </c>
      <c r="D174" s="2" t="str">
        <f t="shared" si="24"/>
        <v>Medien</v>
      </c>
      <c r="N174" t="str">
        <f t="shared" si="25"/>
        <v>-</v>
      </c>
      <c r="O174" t="str">
        <f t="shared" si="26"/>
        <v>-</v>
      </c>
      <c r="P174" t="str">
        <f t="shared" si="27"/>
        <v>Kat. 1</v>
      </c>
      <c r="R174"/>
      <c r="S174"/>
      <c r="T174"/>
      <c r="U174"/>
      <c r="V174"/>
      <c r="W174"/>
      <c r="X174"/>
      <c r="Y174"/>
    </row>
    <row r="175" spans="1:25" s="95" customFormat="1" x14ac:dyDescent="0.35">
      <c r="A175" s="285" t="s">
        <v>384</v>
      </c>
      <c r="B175"/>
      <c r="C175" s="95" t="str">
        <f>CONCATENATE(EFs_Medien[[#This Row],[Thema]]," - ",EFs_Medien[[#This Row],[Bezeichnung]])</f>
        <v xml:space="preserve">Medien - </v>
      </c>
      <c r="D175" s="286" t="str">
        <f t="shared" si="24"/>
        <v>Medien</v>
      </c>
      <c r="N175" s="95" t="str">
        <f t="shared" si="25"/>
        <v>-</v>
      </c>
      <c r="O175" s="95" t="str">
        <f t="shared" si="26"/>
        <v>-</v>
      </c>
      <c r="P175" s="95" t="str">
        <f t="shared" si="27"/>
        <v>Kat. 1</v>
      </c>
      <c r="R175"/>
      <c r="S175"/>
      <c r="T175"/>
      <c r="U175"/>
      <c r="V175"/>
      <c r="W175"/>
      <c r="X175"/>
      <c r="Y175"/>
    </row>
    <row r="176" spans="1:25" s="95" customFormat="1" x14ac:dyDescent="0.35">
      <c r="A176" s="285" t="s">
        <v>384</v>
      </c>
      <c r="B176"/>
      <c r="C176" s="95" t="str">
        <f>CONCATENATE(EFs_Medien[[#This Row],[Thema]]," - ",EFs_Medien[[#This Row],[Bezeichnung]])</f>
        <v xml:space="preserve">Medien - </v>
      </c>
      <c r="D176" s="286" t="str">
        <f t="shared" si="24"/>
        <v>Medien</v>
      </c>
      <c r="N176" s="95" t="str">
        <f t="shared" si="25"/>
        <v>-</v>
      </c>
      <c r="O176" s="95" t="str">
        <f t="shared" si="26"/>
        <v>-</v>
      </c>
      <c r="P176" s="95" t="str">
        <f t="shared" si="27"/>
        <v>Kat. 1</v>
      </c>
      <c r="R176"/>
      <c r="S176"/>
      <c r="T176"/>
      <c r="U176"/>
      <c r="V176"/>
      <c r="W176"/>
      <c r="X176"/>
      <c r="Y176"/>
    </row>
    <row r="177" spans="1:25" x14ac:dyDescent="0.35">
      <c r="D177" s="2"/>
    </row>
    <row r="178" spans="1:25" ht="30" customHeight="1" x14ac:dyDescent="0.35">
      <c r="A178" s="471" t="s">
        <v>386</v>
      </c>
      <c r="B178" s="471"/>
      <c r="C178" s="159" t="s">
        <v>51</v>
      </c>
      <c r="D178" s="159" t="s">
        <v>0</v>
      </c>
      <c r="E178" s="159" t="s">
        <v>1</v>
      </c>
      <c r="F178" s="159" t="s">
        <v>59</v>
      </c>
      <c r="G178" s="159" t="s">
        <v>5</v>
      </c>
      <c r="H178" s="159" t="s">
        <v>6</v>
      </c>
      <c r="I178" s="159" t="s">
        <v>7</v>
      </c>
      <c r="J178" s="159" t="s">
        <v>2</v>
      </c>
      <c r="K178" s="159" t="s">
        <v>3</v>
      </c>
      <c r="L178" s="159" t="s">
        <v>4</v>
      </c>
      <c r="M178" s="159" t="s">
        <v>25</v>
      </c>
      <c r="N178" s="159" t="s">
        <v>314</v>
      </c>
      <c r="O178" s="159" t="s">
        <v>315</v>
      </c>
      <c r="P178" s="159" t="s">
        <v>316</v>
      </c>
    </row>
    <row r="179" spans="1:25" x14ac:dyDescent="0.35">
      <c r="A179" s="471"/>
      <c r="B179" s="471"/>
      <c r="C179" t="str">
        <f>CONCATENATE(EFs_Besuchende[[#This Row],[Thema]]," - ",EFs_Besuchende[[#This Row],[Bezeichnung]])</f>
        <v>Anreise_Besuchende - zu Fuß/Fahrrad</v>
      </c>
      <c r="D179" s="2" t="str">
        <f t="shared" ref="D179:D191" si="28">"Anreise_Besuchende"</f>
        <v>Anreise_Besuchende</v>
      </c>
      <c r="E179" t="s">
        <v>94</v>
      </c>
      <c r="F179" t="s">
        <v>39</v>
      </c>
      <c r="G179">
        <v>0</v>
      </c>
      <c r="H179">
        <v>0</v>
      </c>
      <c r="I179">
        <v>0</v>
      </c>
      <c r="J179" t="s">
        <v>140</v>
      </c>
      <c r="K179" t="s">
        <v>140</v>
      </c>
      <c r="L179" t="s">
        <v>524</v>
      </c>
      <c r="M179" t="s">
        <v>140</v>
      </c>
      <c r="N179" t="s">
        <v>140</v>
      </c>
      <c r="O179" t="s">
        <v>140</v>
      </c>
      <c r="P179" t="s">
        <v>104</v>
      </c>
    </row>
    <row r="180" spans="1:25" x14ac:dyDescent="0.35">
      <c r="C180" t="str">
        <f>CONCATENATE(EFs_Besuchende[[#This Row],[Thema]]," - ",EFs_Besuchende[[#This Row],[Bezeichnung]])</f>
        <v>Anreise_Besuchende - ÖPNV</v>
      </c>
      <c r="D180" s="2" t="str">
        <f t="shared" si="28"/>
        <v>Anreise_Besuchende</v>
      </c>
      <c r="E180" t="s">
        <v>36</v>
      </c>
      <c r="F180" t="s">
        <v>39</v>
      </c>
      <c r="G180">
        <v>0</v>
      </c>
      <c r="H180">
        <v>0</v>
      </c>
      <c r="I180">
        <v>7.1333300000000002E-2</v>
      </c>
      <c r="J180" t="s">
        <v>140</v>
      </c>
      <c r="K180" t="s">
        <v>140</v>
      </c>
      <c r="L180" t="s">
        <v>524</v>
      </c>
      <c r="M180" t="s">
        <v>140</v>
      </c>
      <c r="N180" t="s">
        <v>140</v>
      </c>
      <c r="O180" t="s">
        <v>140</v>
      </c>
      <c r="P180" t="s">
        <v>104</v>
      </c>
    </row>
    <row r="181" spans="1:25" x14ac:dyDescent="0.35">
      <c r="C181" t="str">
        <f>CONCATENATE(EFs_Besuchende[[#This Row],[Thema]]," - ",EFs_Besuchende[[#This Row],[Bezeichnung]])</f>
        <v>Anreise_Besuchende - PKW</v>
      </c>
      <c r="D181" s="2" t="str">
        <f t="shared" si="28"/>
        <v>Anreise_Besuchende</v>
      </c>
      <c r="E181" t="s">
        <v>38</v>
      </c>
      <c r="F181" t="s">
        <v>39</v>
      </c>
      <c r="G181">
        <v>0</v>
      </c>
      <c r="H181">
        <v>0</v>
      </c>
      <c r="I181">
        <v>0.16600000000000001</v>
      </c>
      <c r="J181" t="s">
        <v>140</v>
      </c>
      <c r="K181" t="s">
        <v>140</v>
      </c>
      <c r="L181" t="s">
        <v>523</v>
      </c>
      <c r="M181" t="s">
        <v>140</v>
      </c>
      <c r="N181" t="s">
        <v>140</v>
      </c>
      <c r="O181" t="s">
        <v>140</v>
      </c>
      <c r="P181" t="s">
        <v>104</v>
      </c>
    </row>
    <row r="182" spans="1:25" x14ac:dyDescent="0.35">
      <c r="C182" t="str">
        <f>CONCATENATE(EFs_Besuchende[[#This Row],[Thema]]," - ",EFs_Besuchende[[#This Row],[Bezeichnung]])</f>
        <v>Anreise_Besuchende - Reisebus</v>
      </c>
      <c r="D182" s="2" t="str">
        <f>"Anreise_Besuchende"</f>
        <v>Anreise_Besuchende</v>
      </c>
      <c r="E182" t="s">
        <v>35</v>
      </c>
      <c r="F182" t="s">
        <v>39</v>
      </c>
      <c r="G182">
        <v>0</v>
      </c>
      <c r="H182">
        <v>0</v>
      </c>
      <c r="I182">
        <v>3.1E-2</v>
      </c>
      <c r="J182" t="s">
        <v>140</v>
      </c>
      <c r="K182" t="s">
        <v>140</v>
      </c>
      <c r="L182" t="s">
        <v>525</v>
      </c>
      <c r="M182" t="s">
        <v>140</v>
      </c>
      <c r="N182" t="s">
        <v>140</v>
      </c>
      <c r="O182" t="s">
        <v>140</v>
      </c>
      <c r="P182" t="s">
        <v>104</v>
      </c>
    </row>
    <row r="183" spans="1:25" x14ac:dyDescent="0.35">
      <c r="C183" t="str">
        <f>CONCATENATE(EFs_Besuchende[[#This Row],[Thema]]," - ",EFs_Besuchende[[#This Row],[Bezeichnung]])</f>
        <v>Anreise_Besuchende - Bahn Fernverkehr</v>
      </c>
      <c r="D183" s="2" t="str">
        <f t="shared" si="28"/>
        <v>Anreise_Besuchende</v>
      </c>
      <c r="E183" t="s">
        <v>37</v>
      </c>
      <c r="F183" t="s">
        <v>39</v>
      </c>
      <c r="G183">
        <v>0</v>
      </c>
      <c r="H183">
        <v>0</v>
      </c>
      <c r="I183">
        <v>3.1E-2</v>
      </c>
      <c r="J183" t="s">
        <v>140</v>
      </c>
      <c r="K183" t="s">
        <v>140</v>
      </c>
      <c r="L183" t="s">
        <v>526</v>
      </c>
      <c r="M183" t="s">
        <v>140</v>
      </c>
      <c r="N183" t="s">
        <v>140</v>
      </c>
      <c r="O183" t="s">
        <v>140</v>
      </c>
      <c r="P183" t="s">
        <v>104</v>
      </c>
    </row>
    <row r="184" spans="1:25" x14ac:dyDescent="0.35">
      <c r="C184" t="str">
        <f>CONCATENATE(EFs_Besuchende[[#This Row],[Thema]]," - ",EFs_Besuchende[[#This Row],[Bezeichnung]])</f>
        <v>Anreise_Besuchende - Flug (Inland)</v>
      </c>
      <c r="D184" s="2" t="str">
        <f t="shared" si="28"/>
        <v>Anreise_Besuchende</v>
      </c>
      <c r="E184" t="s">
        <v>313</v>
      </c>
      <c r="F184" t="s">
        <v>39</v>
      </c>
      <c r="G184">
        <v>0</v>
      </c>
      <c r="H184">
        <v>0</v>
      </c>
      <c r="I184">
        <v>0.16098680000000001</v>
      </c>
      <c r="J184" t="s">
        <v>140</v>
      </c>
      <c r="K184" t="s">
        <v>140</v>
      </c>
      <c r="L184" t="s">
        <v>527</v>
      </c>
      <c r="M184" t="s">
        <v>140</v>
      </c>
      <c r="N184" t="s">
        <v>140</v>
      </c>
      <c r="O184" t="s">
        <v>140</v>
      </c>
      <c r="P184" t="s">
        <v>104</v>
      </c>
    </row>
    <row r="185" spans="1:25" x14ac:dyDescent="0.35">
      <c r="C185" t="str">
        <f>CONCATENATE(EFs_Besuchende[[#This Row],[Thema]]," - ",EFs_Besuchende[[#This Row],[Bezeichnung]])</f>
        <v>Anreise_Besuchende - Flug (innereuropäisch)</v>
      </c>
      <c r="D185" s="2" t="str">
        <f t="shared" si="28"/>
        <v>Anreise_Besuchende</v>
      </c>
      <c r="E185" t="s">
        <v>332</v>
      </c>
      <c r="F185" t="s">
        <v>39</v>
      </c>
      <c r="G185">
        <v>0</v>
      </c>
      <c r="H185">
        <v>0</v>
      </c>
      <c r="I185">
        <v>0.1097371</v>
      </c>
      <c r="J185" t="s">
        <v>140</v>
      </c>
      <c r="K185" t="s">
        <v>140</v>
      </c>
      <c r="L185" t="s">
        <v>528</v>
      </c>
      <c r="M185" t="s">
        <v>140</v>
      </c>
      <c r="N185" t="s">
        <v>140</v>
      </c>
      <c r="O185" t="s">
        <v>140</v>
      </c>
      <c r="P185" t="s">
        <v>104</v>
      </c>
    </row>
    <row r="186" spans="1:25" x14ac:dyDescent="0.35">
      <c r="C186" t="str">
        <f>CONCATENATE(EFs_Besuchende[[#This Row],[Thema]]," - ",EFs_Besuchende[[#This Row],[Bezeichnung]])</f>
        <v>Anreise_Besuchende - Flug (international)</v>
      </c>
      <c r="D186" s="2" t="str">
        <f t="shared" si="28"/>
        <v>Anreise_Besuchende</v>
      </c>
      <c r="E186" t="s">
        <v>333</v>
      </c>
      <c r="F186" t="s">
        <v>39</v>
      </c>
      <c r="G186">
        <v>0</v>
      </c>
      <c r="H186">
        <v>0</v>
      </c>
      <c r="I186">
        <v>0.1542306</v>
      </c>
      <c r="J186" t="s">
        <v>140</v>
      </c>
      <c r="K186" t="s">
        <v>140</v>
      </c>
      <c r="L186" t="s">
        <v>529</v>
      </c>
      <c r="M186" t="s">
        <v>140</v>
      </c>
      <c r="N186" t="s">
        <v>140</v>
      </c>
      <c r="O186" t="s">
        <v>140</v>
      </c>
      <c r="P186" t="s">
        <v>104</v>
      </c>
    </row>
    <row r="187" spans="1:25" s="95" customFormat="1" x14ac:dyDescent="0.35">
      <c r="A187" s="285" t="s">
        <v>384</v>
      </c>
      <c r="B187"/>
      <c r="C187" s="95" t="str">
        <f>CONCATENATE(EFs_Besuchende[[#This Row],[Thema]]," - ",EFs_Besuchende[[#This Row],[Bezeichnung]])</f>
        <v xml:space="preserve">Anreise_Besuchende - </v>
      </c>
      <c r="D187" s="2" t="str">
        <f t="shared" si="28"/>
        <v>Anreise_Besuchende</v>
      </c>
      <c r="N187" t="str">
        <f t="shared" ref="N187:N191" si="29">"-"</f>
        <v>-</v>
      </c>
      <c r="O187" t="str">
        <f t="shared" ref="O187:O191" si="30">"-"</f>
        <v>-</v>
      </c>
      <c r="P187" t="str">
        <f t="shared" ref="P187:P191" si="31">"Kat. 9"</f>
        <v>Kat. 9</v>
      </c>
      <c r="R187"/>
      <c r="S187"/>
      <c r="T187"/>
      <c r="U187"/>
      <c r="V187"/>
      <c r="W187"/>
      <c r="X187"/>
      <c r="Y187"/>
    </row>
    <row r="188" spans="1:25" s="95" customFormat="1" x14ac:dyDescent="0.35">
      <c r="A188" s="285" t="s">
        <v>384</v>
      </c>
      <c r="B188"/>
      <c r="C188" s="95" t="str">
        <f>CONCATENATE(EFs_Besuchende[[#This Row],[Thema]]," - ",EFs_Besuchende[[#This Row],[Bezeichnung]])</f>
        <v xml:space="preserve">Anreise_Besuchende - </v>
      </c>
      <c r="D188" s="2" t="str">
        <f t="shared" si="28"/>
        <v>Anreise_Besuchende</v>
      </c>
      <c r="N188" t="str">
        <f t="shared" si="29"/>
        <v>-</v>
      </c>
      <c r="O188" t="str">
        <f t="shared" si="30"/>
        <v>-</v>
      </c>
      <c r="P188" t="str">
        <f t="shared" si="31"/>
        <v>Kat. 9</v>
      </c>
      <c r="R188"/>
      <c r="S188"/>
      <c r="T188"/>
      <c r="U188"/>
      <c r="V188"/>
      <c r="W188"/>
      <c r="X188"/>
      <c r="Y188"/>
    </row>
    <row r="189" spans="1:25" s="95" customFormat="1" x14ac:dyDescent="0.35">
      <c r="A189" s="285" t="s">
        <v>384</v>
      </c>
      <c r="B189"/>
      <c r="C189" s="95" t="str">
        <f>CONCATENATE(EFs_Besuchende[[#This Row],[Thema]]," - ",EFs_Besuchende[[#This Row],[Bezeichnung]])</f>
        <v xml:space="preserve">Anreise_Besuchende - </v>
      </c>
      <c r="D189" s="2" t="str">
        <f t="shared" si="28"/>
        <v>Anreise_Besuchende</v>
      </c>
      <c r="N189" t="str">
        <f t="shared" si="29"/>
        <v>-</v>
      </c>
      <c r="O189" t="str">
        <f t="shared" si="30"/>
        <v>-</v>
      </c>
      <c r="P189" t="str">
        <f t="shared" si="31"/>
        <v>Kat. 9</v>
      </c>
      <c r="R189"/>
      <c r="S189"/>
      <c r="T189"/>
      <c r="U189"/>
      <c r="V189"/>
      <c r="W189"/>
      <c r="X189"/>
      <c r="Y189"/>
    </row>
    <row r="190" spans="1:25" s="95" customFormat="1" x14ac:dyDescent="0.35">
      <c r="A190" s="285" t="s">
        <v>384</v>
      </c>
      <c r="B190"/>
      <c r="C190" s="95" t="str">
        <f>CONCATENATE(EFs_Besuchende[[#This Row],[Thema]]," - ",EFs_Besuchende[[#This Row],[Bezeichnung]])</f>
        <v xml:space="preserve">Anreise_Besuchende - </v>
      </c>
      <c r="D190" s="286" t="str">
        <f t="shared" si="28"/>
        <v>Anreise_Besuchende</v>
      </c>
      <c r="N190" s="95" t="str">
        <f t="shared" si="29"/>
        <v>-</v>
      </c>
      <c r="O190" s="95" t="str">
        <f t="shared" si="30"/>
        <v>-</v>
      </c>
      <c r="P190" s="95" t="str">
        <f t="shared" si="31"/>
        <v>Kat. 9</v>
      </c>
      <c r="R190"/>
      <c r="S190"/>
      <c r="T190"/>
      <c r="U190"/>
      <c r="V190"/>
      <c r="W190"/>
      <c r="X190"/>
      <c r="Y190"/>
    </row>
    <row r="191" spans="1:25" s="95" customFormat="1" x14ac:dyDescent="0.35">
      <c r="A191" s="285" t="s">
        <v>384</v>
      </c>
      <c r="B191"/>
      <c r="C191" s="95" t="str">
        <f>CONCATENATE(EFs_Besuchende[[#This Row],[Thema]]," - ",EFs_Besuchende[[#This Row],[Bezeichnung]])</f>
        <v xml:space="preserve">Anreise_Besuchende - </v>
      </c>
      <c r="D191" s="286" t="str">
        <f t="shared" si="28"/>
        <v>Anreise_Besuchende</v>
      </c>
      <c r="N191" s="95" t="str">
        <f t="shared" si="29"/>
        <v>-</v>
      </c>
      <c r="O191" s="95" t="str">
        <f t="shared" si="30"/>
        <v>-</v>
      </c>
      <c r="P191" s="95" t="str">
        <f t="shared" si="31"/>
        <v>Kat. 9</v>
      </c>
      <c r="R191"/>
      <c r="S191"/>
      <c r="T191"/>
      <c r="U191"/>
      <c r="V191"/>
      <c r="W191"/>
      <c r="X191"/>
      <c r="Y191"/>
    </row>
    <row r="192" spans="1:25" x14ac:dyDescent="0.35">
      <c r="D192" s="2"/>
    </row>
    <row r="193" spans="1:25" ht="30" customHeight="1" x14ac:dyDescent="0.35">
      <c r="A193" s="471" t="s">
        <v>385</v>
      </c>
      <c r="B193" s="471"/>
      <c r="C193" s="159" t="s">
        <v>51</v>
      </c>
      <c r="D193" s="159" t="s">
        <v>0</v>
      </c>
      <c r="E193" s="159" t="s">
        <v>1</v>
      </c>
      <c r="F193" s="159" t="s">
        <v>59</v>
      </c>
      <c r="G193" s="159" t="s">
        <v>5</v>
      </c>
      <c r="H193" s="159" t="s">
        <v>6</v>
      </c>
      <c r="I193" s="159" t="s">
        <v>7</v>
      </c>
      <c r="J193" s="159" t="s">
        <v>2</v>
      </c>
      <c r="K193" s="159" t="s">
        <v>3</v>
      </c>
      <c r="L193" s="159" t="s">
        <v>4</v>
      </c>
      <c r="M193" s="159" t="s">
        <v>25</v>
      </c>
      <c r="N193" s="159" t="s">
        <v>314</v>
      </c>
      <c r="O193" s="159" t="s">
        <v>315</v>
      </c>
      <c r="P193" s="159" t="s">
        <v>316</v>
      </c>
    </row>
    <row r="194" spans="1:25" x14ac:dyDescent="0.35">
      <c r="A194" s="471"/>
      <c r="B194" s="471"/>
      <c r="C194" t="str">
        <f>CONCATENATE(EFs_IT[[#This Row],[Thema]]," - ",EFs_IT[[#This Row],[Bezeichnung]])</f>
        <v>IT_Dienstleistungen - Cloud Storage</v>
      </c>
      <c r="D194" s="2" t="str">
        <f t="shared" ref="D194:D200" si="32">"IT_Dienstleistungen"</f>
        <v>IT_Dienstleistungen</v>
      </c>
      <c r="E194" t="s">
        <v>42</v>
      </c>
      <c r="F194" t="s">
        <v>43</v>
      </c>
      <c r="G194">
        <v>0</v>
      </c>
      <c r="H194">
        <v>0</v>
      </c>
      <c r="I194">
        <v>0.1170827</v>
      </c>
      <c r="J194" t="s">
        <v>140</v>
      </c>
      <c r="K194" t="s">
        <v>140</v>
      </c>
      <c r="L194" t="s">
        <v>551</v>
      </c>
      <c r="M194" t="s">
        <v>552</v>
      </c>
      <c r="N194" t="s">
        <v>140</v>
      </c>
      <c r="O194" t="s">
        <v>140</v>
      </c>
      <c r="P194" t="s">
        <v>97</v>
      </c>
    </row>
    <row r="195" spans="1:25" x14ac:dyDescent="0.35">
      <c r="C195" t="str">
        <f>CONCATENATE(EFs_IT[[#This Row],[Thema]]," - ",EFs_IT[[#This Row],[Bezeichnung]])</f>
        <v>IT_Dienstleistungen - Extern ermittelte Emissionen</v>
      </c>
      <c r="D195" s="2" t="str">
        <f t="shared" si="32"/>
        <v>IT_Dienstleistungen</v>
      </c>
      <c r="E195" t="s">
        <v>145</v>
      </c>
      <c r="F195" t="s">
        <v>69</v>
      </c>
      <c r="G195">
        <v>0</v>
      </c>
      <c r="H195">
        <v>0</v>
      </c>
      <c r="I195">
        <v>1</v>
      </c>
      <c r="J195" t="s">
        <v>140</v>
      </c>
      <c r="K195" t="s">
        <v>140</v>
      </c>
      <c r="L195" t="s">
        <v>140</v>
      </c>
      <c r="M195" t="s">
        <v>140</v>
      </c>
      <c r="N195" t="s">
        <v>140</v>
      </c>
      <c r="O195" t="s">
        <v>140</v>
      </c>
      <c r="P195" t="s">
        <v>97</v>
      </c>
    </row>
    <row r="196" spans="1:25" s="95" customFormat="1" x14ac:dyDescent="0.35">
      <c r="A196" s="285" t="s">
        <v>384</v>
      </c>
      <c r="B196"/>
      <c r="C196" s="95" t="str">
        <f>CONCATENATE(EFs_IT[[#This Row],[Thema]]," - ",EFs_IT[[#This Row],[Bezeichnung]])</f>
        <v xml:space="preserve">IT_Dienstleistungen - </v>
      </c>
      <c r="D196" s="2" t="str">
        <f t="shared" si="32"/>
        <v>IT_Dienstleistungen</v>
      </c>
      <c r="N196" t="str">
        <f t="shared" ref="N196:N200" si="33">"-"</f>
        <v>-</v>
      </c>
      <c r="O196" t="str">
        <f t="shared" ref="O196:O200" si="34">"-"</f>
        <v>-</v>
      </c>
      <c r="P196" t="str">
        <f t="shared" ref="P196:P200" si="35">"Kat. 1"</f>
        <v>Kat. 1</v>
      </c>
      <c r="R196"/>
      <c r="S196"/>
      <c r="T196"/>
      <c r="U196"/>
      <c r="V196"/>
      <c r="W196"/>
      <c r="X196"/>
      <c r="Y196"/>
    </row>
    <row r="197" spans="1:25" s="95" customFormat="1" x14ac:dyDescent="0.35">
      <c r="A197" s="285" t="s">
        <v>384</v>
      </c>
      <c r="B197"/>
      <c r="C197" s="95" t="str">
        <f>CONCATENATE(EFs_IT[[#This Row],[Thema]]," - ",EFs_IT[[#This Row],[Bezeichnung]])</f>
        <v xml:space="preserve">IT_Dienstleistungen - </v>
      </c>
      <c r="D197" s="2" t="str">
        <f t="shared" si="32"/>
        <v>IT_Dienstleistungen</v>
      </c>
      <c r="N197" t="str">
        <f t="shared" si="33"/>
        <v>-</v>
      </c>
      <c r="O197" t="str">
        <f t="shared" si="34"/>
        <v>-</v>
      </c>
      <c r="P197" t="str">
        <f t="shared" si="35"/>
        <v>Kat. 1</v>
      </c>
      <c r="R197"/>
      <c r="S197"/>
      <c r="T197"/>
      <c r="U197"/>
      <c r="V197"/>
      <c r="W197"/>
      <c r="X197"/>
      <c r="Y197"/>
    </row>
    <row r="198" spans="1:25" s="95" customFormat="1" x14ac:dyDescent="0.35">
      <c r="A198" s="285" t="s">
        <v>384</v>
      </c>
      <c r="B198"/>
      <c r="C198" s="95" t="str">
        <f>CONCATENATE(EFs_IT[[#This Row],[Thema]]," - ",EFs_IT[[#This Row],[Bezeichnung]])</f>
        <v xml:space="preserve">IT_Dienstleistungen - </v>
      </c>
      <c r="D198" s="2" t="str">
        <f t="shared" si="32"/>
        <v>IT_Dienstleistungen</v>
      </c>
      <c r="N198" t="str">
        <f t="shared" si="33"/>
        <v>-</v>
      </c>
      <c r="O198" t="str">
        <f t="shared" si="34"/>
        <v>-</v>
      </c>
      <c r="P198" t="str">
        <f t="shared" si="35"/>
        <v>Kat. 1</v>
      </c>
      <c r="R198"/>
      <c r="S198"/>
      <c r="T198"/>
      <c r="U198"/>
      <c r="V198"/>
      <c r="W198"/>
      <c r="X198"/>
      <c r="Y198"/>
    </row>
    <row r="199" spans="1:25" s="95" customFormat="1" x14ac:dyDescent="0.35">
      <c r="A199" s="285" t="s">
        <v>384</v>
      </c>
      <c r="B199"/>
      <c r="C199" s="95" t="str">
        <f>CONCATENATE(EFs_IT[[#This Row],[Thema]]," - ",EFs_IT[[#This Row],[Bezeichnung]])</f>
        <v xml:space="preserve">IT_Dienstleistungen - </v>
      </c>
      <c r="D199" s="286" t="str">
        <f t="shared" si="32"/>
        <v>IT_Dienstleistungen</v>
      </c>
      <c r="N199" s="95" t="str">
        <f t="shared" si="33"/>
        <v>-</v>
      </c>
      <c r="O199" s="95" t="str">
        <f t="shared" si="34"/>
        <v>-</v>
      </c>
      <c r="P199" s="95" t="str">
        <f t="shared" si="35"/>
        <v>Kat. 1</v>
      </c>
      <c r="R199"/>
      <c r="S199"/>
      <c r="T199"/>
      <c r="U199"/>
      <c r="V199"/>
      <c r="W199"/>
      <c r="X199"/>
      <c r="Y199"/>
    </row>
    <row r="200" spans="1:25" s="95" customFormat="1" x14ac:dyDescent="0.35">
      <c r="A200" s="285" t="s">
        <v>384</v>
      </c>
      <c r="B200"/>
      <c r="C200" s="95" t="str">
        <f>CONCATENATE(EFs_IT[[#This Row],[Thema]]," - ",EFs_IT[[#This Row],[Bezeichnung]])</f>
        <v xml:space="preserve">IT_Dienstleistungen - </v>
      </c>
      <c r="D200" s="286" t="str">
        <f t="shared" si="32"/>
        <v>IT_Dienstleistungen</v>
      </c>
      <c r="N200" s="95" t="str">
        <f t="shared" si="33"/>
        <v>-</v>
      </c>
      <c r="O200" s="95" t="str">
        <f t="shared" si="34"/>
        <v>-</v>
      </c>
      <c r="P200" s="95" t="str">
        <f t="shared" si="35"/>
        <v>Kat. 1</v>
      </c>
      <c r="R200"/>
      <c r="S200"/>
      <c r="T200"/>
      <c r="U200"/>
      <c r="V200"/>
      <c r="W200"/>
      <c r="X200"/>
      <c r="Y200"/>
    </row>
    <row r="201" spans="1:25" x14ac:dyDescent="0.35">
      <c r="D201" s="2"/>
    </row>
    <row r="202" spans="1:25" ht="18.5" x14ac:dyDescent="0.45">
      <c r="D202" s="5" t="s">
        <v>124</v>
      </c>
    </row>
    <row r="203" spans="1:25" s="287" customFormat="1" ht="30" customHeight="1" x14ac:dyDescent="0.35">
      <c r="A203" s="471" t="s">
        <v>22</v>
      </c>
      <c r="B203" s="471"/>
      <c r="C203" s="287" t="s">
        <v>51</v>
      </c>
      <c r="D203" s="159" t="s">
        <v>0</v>
      </c>
      <c r="E203" s="287" t="s">
        <v>1</v>
      </c>
      <c r="F203" s="159" t="s">
        <v>59</v>
      </c>
      <c r="G203" s="287" t="s">
        <v>5</v>
      </c>
      <c r="H203" s="287" t="s">
        <v>6</v>
      </c>
      <c r="I203" s="287" t="s">
        <v>126</v>
      </c>
      <c r="J203" s="287" t="s">
        <v>127</v>
      </c>
      <c r="K203" s="287" t="s">
        <v>2</v>
      </c>
      <c r="L203" s="287" t="s">
        <v>3</v>
      </c>
      <c r="M203" s="287" t="s">
        <v>129</v>
      </c>
      <c r="N203" s="287" t="s">
        <v>128</v>
      </c>
      <c r="O203" s="287" t="s">
        <v>25</v>
      </c>
      <c r="P203" s="159" t="s">
        <v>314</v>
      </c>
      <c r="Q203" s="159" t="s">
        <v>315</v>
      </c>
      <c r="R203" s="159" t="s">
        <v>316</v>
      </c>
      <c r="S203" s="159" t="s">
        <v>317</v>
      </c>
    </row>
    <row r="204" spans="1:25" x14ac:dyDescent="0.35">
      <c r="A204" s="471"/>
      <c r="B204" s="471"/>
      <c r="C204" t="str">
        <f>CONCATENATE(EFs_3135[[#This Row],[Thema]]," - ",EFs_3135[[#This Row],[Bezeichnung]])</f>
        <v>Relevante_Stoffströme - Altholz (t)</v>
      </c>
      <c r="D204" s="2" t="str">
        <f t="shared" ref="D204:D228" si="36">"Relevante_Stoffströme"</f>
        <v>Relevante_Stoffströme</v>
      </c>
      <c r="E204" t="s">
        <v>430</v>
      </c>
      <c r="F204" t="s">
        <v>441</v>
      </c>
      <c r="G204">
        <v>0</v>
      </c>
      <c r="H204">
        <v>0</v>
      </c>
      <c r="I204">
        <v>139.51</v>
      </c>
      <c r="J204">
        <v>21.281000000000002</v>
      </c>
      <c r="K204" t="s">
        <v>140</v>
      </c>
      <c r="L204" t="s">
        <v>140</v>
      </c>
      <c r="M204" t="s">
        <v>553</v>
      </c>
      <c r="N204" t="s">
        <v>554</v>
      </c>
      <c r="O204" t="s">
        <v>140</v>
      </c>
      <c r="P204" t="s">
        <v>140</v>
      </c>
      <c r="Q204" t="s">
        <v>140</v>
      </c>
      <c r="R204" t="s">
        <v>97</v>
      </c>
      <c r="S204" t="s">
        <v>101</v>
      </c>
    </row>
    <row r="205" spans="1:25" ht="16.5" x14ac:dyDescent="0.35">
      <c r="C205" t="str">
        <f>CONCATENATE(EFs_3135[[#This Row],[Thema]]," - ",EFs_3135[[#This Row],[Bezeichnung]])</f>
        <v>Relevante_Stoffströme - Altholz (m3)</v>
      </c>
      <c r="D205" s="2" t="str">
        <f t="shared" si="36"/>
        <v>Relevante_Stoffströme</v>
      </c>
      <c r="E205" t="s">
        <v>442</v>
      </c>
      <c r="F205" t="s">
        <v>320</v>
      </c>
      <c r="G205">
        <v>0</v>
      </c>
      <c r="H205">
        <v>0</v>
      </c>
      <c r="I205">
        <v>47.43</v>
      </c>
      <c r="J205">
        <v>7.2355400000000003</v>
      </c>
      <c r="K205" t="s">
        <v>140</v>
      </c>
      <c r="L205" t="s">
        <v>140</v>
      </c>
      <c r="M205" t="s">
        <v>555</v>
      </c>
      <c r="N205" t="s">
        <v>554</v>
      </c>
      <c r="O205" t="s">
        <v>140</v>
      </c>
      <c r="P205" t="s">
        <v>140</v>
      </c>
      <c r="Q205" t="s">
        <v>140</v>
      </c>
      <c r="R205" t="s">
        <v>97</v>
      </c>
      <c r="S205" t="s">
        <v>101</v>
      </c>
    </row>
    <row r="206" spans="1:25" x14ac:dyDescent="0.35">
      <c r="C206" t="str">
        <f>CONCATENATE(EFs_3135[[#This Row],[Thema]]," - ",EFs_3135[[#This Row],[Bezeichnung]])</f>
        <v>Relevante_Stoffströme - Metallschrott (t)</v>
      </c>
      <c r="D206" s="2" t="str">
        <f t="shared" si="36"/>
        <v>Relevante_Stoffströme</v>
      </c>
      <c r="E206" t="s">
        <v>431</v>
      </c>
      <c r="F206" t="s">
        <v>441</v>
      </c>
      <c r="G206">
        <v>0</v>
      </c>
      <c r="H206">
        <v>0</v>
      </c>
      <c r="I206">
        <v>8055.34</v>
      </c>
      <c r="J206">
        <v>0.98499999999999999</v>
      </c>
      <c r="K206" t="s">
        <v>140</v>
      </c>
      <c r="L206" t="s">
        <v>140</v>
      </c>
      <c r="M206" t="s">
        <v>556</v>
      </c>
      <c r="N206" t="s">
        <v>557</v>
      </c>
      <c r="O206" t="s">
        <v>140</v>
      </c>
      <c r="P206" t="s">
        <v>140</v>
      </c>
      <c r="Q206" t="s">
        <v>140</v>
      </c>
      <c r="R206" t="s">
        <v>97</v>
      </c>
      <c r="S206" t="s">
        <v>101</v>
      </c>
    </row>
    <row r="207" spans="1:25" ht="16.5" x14ac:dyDescent="0.35">
      <c r="C207" t="str">
        <f>CONCATENATE(EFs_3135[[#This Row],[Thema]]," - ",EFs_3135[[#This Row],[Bezeichnung]])</f>
        <v>Relevante_Stoffströme - Metallschrott (m3)</v>
      </c>
      <c r="D207" s="2" t="str">
        <f t="shared" si="36"/>
        <v>Relevante_Stoffströme</v>
      </c>
      <c r="E207" t="s">
        <v>443</v>
      </c>
      <c r="F207" t="s">
        <v>320</v>
      </c>
      <c r="G207">
        <v>0</v>
      </c>
      <c r="H207">
        <v>0</v>
      </c>
      <c r="I207">
        <v>805.53</v>
      </c>
      <c r="J207">
        <v>9.8500000000000004E-2</v>
      </c>
      <c r="K207" t="s">
        <v>140</v>
      </c>
      <c r="L207" t="s">
        <v>140</v>
      </c>
      <c r="M207" t="s">
        <v>558</v>
      </c>
      <c r="N207" t="s">
        <v>557</v>
      </c>
      <c r="O207" t="s">
        <v>140</v>
      </c>
      <c r="P207" t="s">
        <v>140</v>
      </c>
      <c r="Q207" t="s">
        <v>140</v>
      </c>
      <c r="R207" t="s">
        <v>97</v>
      </c>
      <c r="S207" t="s">
        <v>101</v>
      </c>
    </row>
    <row r="208" spans="1:25" x14ac:dyDescent="0.35">
      <c r="C208" t="str">
        <f>CONCATENATE(EFs_3135[[#This Row],[Thema]]," - ",EFs_3135[[#This Row],[Bezeichnung]])</f>
        <v>Relevante_Stoffströme - Baumischabfall (t)</v>
      </c>
      <c r="D208" s="2" t="str">
        <f t="shared" ref="D208:D223" si="37">"Relevante_Stoffströme"</f>
        <v>Relevante_Stoffströme</v>
      </c>
      <c r="E208" t="s">
        <v>432</v>
      </c>
      <c r="F208" t="s">
        <v>441</v>
      </c>
      <c r="G208">
        <v>0</v>
      </c>
      <c r="H208">
        <v>0</v>
      </c>
      <c r="I208">
        <v>1814.63</v>
      </c>
      <c r="J208">
        <v>21.281000000000002</v>
      </c>
      <c r="K208" t="s">
        <v>140</v>
      </c>
      <c r="L208" t="s">
        <v>140</v>
      </c>
      <c r="M208" t="s">
        <v>559</v>
      </c>
      <c r="N208" t="s">
        <v>560</v>
      </c>
      <c r="O208" t="s">
        <v>140</v>
      </c>
      <c r="P208" t="s">
        <v>140</v>
      </c>
      <c r="Q208" t="s">
        <v>140</v>
      </c>
      <c r="R208" t="s">
        <v>97</v>
      </c>
      <c r="S208" t="s">
        <v>101</v>
      </c>
    </row>
    <row r="209" spans="1:27" ht="16.5" x14ac:dyDescent="0.35">
      <c r="C209" t="str">
        <f>CONCATENATE(EFs_3135[[#This Row],[Thema]]," - ",EFs_3135[[#This Row],[Bezeichnung]])</f>
        <v>Relevante_Stoffströme - Baumischabfall (m3)</v>
      </c>
      <c r="D209" s="2" t="str">
        <f t="shared" si="37"/>
        <v>Relevante_Stoffströme</v>
      </c>
      <c r="E209" t="s">
        <v>444</v>
      </c>
      <c r="F209" t="s">
        <v>320</v>
      </c>
      <c r="G209">
        <v>0</v>
      </c>
      <c r="H209">
        <v>0</v>
      </c>
      <c r="I209">
        <v>2359.02</v>
      </c>
      <c r="J209">
        <v>27.665300000000002</v>
      </c>
      <c r="K209" t="s">
        <v>140</v>
      </c>
      <c r="L209" t="s">
        <v>140</v>
      </c>
      <c r="M209" t="s">
        <v>561</v>
      </c>
      <c r="N209" t="s">
        <v>560</v>
      </c>
      <c r="O209" t="s">
        <v>140</v>
      </c>
      <c r="P209" t="s">
        <v>140</v>
      </c>
      <c r="Q209" t="s">
        <v>140</v>
      </c>
      <c r="R209" t="s">
        <v>97</v>
      </c>
      <c r="S209" t="s">
        <v>101</v>
      </c>
    </row>
    <row r="210" spans="1:27" x14ac:dyDescent="0.35">
      <c r="C210" t="str">
        <f>CONCATENATE(EFs_3135[[#This Row],[Thema]]," - ",EFs_3135[[#This Row],[Bezeichnung]])</f>
        <v>Relevante_Stoffströme - Sperrmüll (t)</v>
      </c>
      <c r="D210" s="2" t="str">
        <f t="shared" si="37"/>
        <v>Relevante_Stoffströme</v>
      </c>
      <c r="E210" t="s">
        <v>433</v>
      </c>
      <c r="F210" t="s">
        <v>441</v>
      </c>
      <c r="G210">
        <v>0</v>
      </c>
      <c r="H210">
        <v>0</v>
      </c>
      <c r="I210">
        <v>2368.7800000000002</v>
      </c>
      <c r="J210">
        <v>21.281000000000002</v>
      </c>
      <c r="K210" t="s">
        <v>140</v>
      </c>
      <c r="L210" t="s">
        <v>140</v>
      </c>
      <c r="M210" t="s">
        <v>562</v>
      </c>
      <c r="N210" t="s">
        <v>554</v>
      </c>
      <c r="O210" t="s">
        <v>140</v>
      </c>
      <c r="P210" t="s">
        <v>140</v>
      </c>
      <c r="Q210" t="s">
        <v>140</v>
      </c>
      <c r="R210" t="s">
        <v>97</v>
      </c>
      <c r="S210" t="s">
        <v>101</v>
      </c>
    </row>
    <row r="211" spans="1:27" ht="16.5" x14ac:dyDescent="0.35">
      <c r="C211" t="str">
        <f>CONCATENATE(EFs_3135[[#This Row],[Thema]]," - ",EFs_3135[[#This Row],[Bezeichnung]])</f>
        <v>Relevante_Stoffströme - Sperrmüll (m3)</v>
      </c>
      <c r="D211" s="2" t="str">
        <f t="shared" si="37"/>
        <v>Relevante_Stoffströme</v>
      </c>
      <c r="E211" t="s">
        <v>445</v>
      </c>
      <c r="F211" t="s">
        <v>320</v>
      </c>
      <c r="G211">
        <v>0</v>
      </c>
      <c r="H211">
        <v>0</v>
      </c>
      <c r="I211">
        <v>236.88</v>
      </c>
      <c r="J211">
        <v>2.1281000000000003</v>
      </c>
      <c r="K211" t="s">
        <v>140</v>
      </c>
      <c r="L211" t="s">
        <v>140</v>
      </c>
      <c r="M211" t="s">
        <v>563</v>
      </c>
      <c r="N211" t="s">
        <v>554</v>
      </c>
      <c r="O211" t="s">
        <v>140</v>
      </c>
      <c r="P211" t="s">
        <v>140</v>
      </c>
      <c r="Q211" t="s">
        <v>140</v>
      </c>
      <c r="R211" t="s">
        <v>97</v>
      </c>
      <c r="S211" t="s">
        <v>101</v>
      </c>
    </row>
    <row r="212" spans="1:27" x14ac:dyDescent="0.35">
      <c r="C212" t="str">
        <f>CONCATENATE(EFs_3135[[#This Row],[Thema]]," - ",EFs_3135[[#This Row],[Bezeichnung]])</f>
        <v>Relevante_Stoffströme - Elektroschrott (IT-Hardware, t)</v>
      </c>
      <c r="D212" s="2" t="str">
        <f t="shared" si="37"/>
        <v>Relevante_Stoffströme</v>
      </c>
      <c r="E212" t="s">
        <v>434</v>
      </c>
      <c r="F212" t="s">
        <v>441</v>
      </c>
      <c r="G212">
        <v>0</v>
      </c>
      <c r="H212">
        <v>0</v>
      </c>
      <c r="I212">
        <v>80695.509999999995</v>
      </c>
      <c r="J212">
        <v>21.281000000000002</v>
      </c>
      <c r="K212" t="s">
        <v>140</v>
      </c>
      <c r="L212" t="s">
        <v>140</v>
      </c>
      <c r="M212" t="s">
        <v>564</v>
      </c>
      <c r="N212" t="s">
        <v>565</v>
      </c>
      <c r="O212" t="s">
        <v>140</v>
      </c>
      <c r="P212" t="s">
        <v>140</v>
      </c>
      <c r="Q212" t="s">
        <v>140</v>
      </c>
      <c r="R212" t="s">
        <v>97</v>
      </c>
      <c r="S212" t="s">
        <v>101</v>
      </c>
    </row>
    <row r="213" spans="1:27" x14ac:dyDescent="0.35">
      <c r="C213" t="str">
        <f>CONCATENATE(EFs_3135[[#This Row],[Thema]]," - ",EFs_3135[[#This Row],[Bezeichnung]])</f>
        <v>Relevante_Stoffströme - Elektroschrott (ohne IT-Hardware, t)</v>
      </c>
      <c r="D213" s="2" t="str">
        <f t="shared" si="37"/>
        <v>Relevante_Stoffströme</v>
      </c>
      <c r="E213" t="s">
        <v>435</v>
      </c>
      <c r="F213" t="s">
        <v>441</v>
      </c>
      <c r="G213">
        <v>0</v>
      </c>
      <c r="H213">
        <v>0</v>
      </c>
      <c r="I213">
        <v>3889.46</v>
      </c>
      <c r="J213">
        <v>21.281000000000002</v>
      </c>
      <c r="K213" t="s">
        <v>140</v>
      </c>
      <c r="L213" t="s">
        <v>140</v>
      </c>
      <c r="M213" t="s">
        <v>566</v>
      </c>
      <c r="N213" t="s">
        <v>565</v>
      </c>
      <c r="O213" t="s">
        <v>140</v>
      </c>
      <c r="P213" t="s">
        <v>140</v>
      </c>
      <c r="Q213" t="s">
        <v>140</v>
      </c>
      <c r="R213" t="s">
        <v>97</v>
      </c>
      <c r="S213" t="s">
        <v>101</v>
      </c>
    </row>
    <row r="214" spans="1:27" x14ac:dyDescent="0.35">
      <c r="C214" t="str">
        <f>CONCATENATE(EFs_3135[[#This Row],[Thema]]," - ",EFs_3135[[#This Row],[Bezeichnung]])</f>
        <v>Relevante_Stoffströme - Papiermüll (t)</v>
      </c>
      <c r="D214" s="2" t="str">
        <f t="shared" si="37"/>
        <v>Relevante_Stoffströme</v>
      </c>
      <c r="E214" t="s">
        <v>436</v>
      </c>
      <c r="F214" t="s">
        <v>441</v>
      </c>
      <c r="G214">
        <v>0</v>
      </c>
      <c r="H214">
        <v>0</v>
      </c>
      <c r="I214">
        <v>0</v>
      </c>
      <c r="J214">
        <v>21.281000000000002</v>
      </c>
      <c r="K214" t="s">
        <v>140</v>
      </c>
      <c r="L214" t="s">
        <v>140</v>
      </c>
      <c r="M214" t="s">
        <v>140</v>
      </c>
      <c r="N214" t="s">
        <v>567</v>
      </c>
      <c r="O214" t="s">
        <v>140</v>
      </c>
      <c r="P214" t="s">
        <v>140</v>
      </c>
      <c r="Q214" t="s">
        <v>140</v>
      </c>
      <c r="R214" t="s">
        <v>140</v>
      </c>
      <c r="S214" t="s">
        <v>101</v>
      </c>
    </row>
    <row r="215" spans="1:27" ht="16.5" x14ac:dyDescent="0.35">
      <c r="C215" t="str">
        <f>CONCATENATE(EFs_3135[[#This Row],[Thema]]," - ",EFs_3135[[#This Row],[Bezeichnung]])</f>
        <v>Relevante_Stoffströme - Papiermüll (m3)</v>
      </c>
      <c r="D215" s="2" t="str">
        <f t="shared" si="37"/>
        <v>Relevante_Stoffströme</v>
      </c>
      <c r="E215" t="s">
        <v>446</v>
      </c>
      <c r="F215" t="s">
        <v>320</v>
      </c>
      <c r="G215">
        <v>0</v>
      </c>
      <c r="H215">
        <v>0</v>
      </c>
      <c r="I215">
        <v>0</v>
      </c>
      <c r="J215">
        <v>4.2562000000000006</v>
      </c>
      <c r="K215" t="s">
        <v>140</v>
      </c>
      <c r="L215" t="s">
        <v>140</v>
      </c>
      <c r="M215" t="s">
        <v>140</v>
      </c>
      <c r="N215" t="s">
        <v>567</v>
      </c>
      <c r="O215" t="s">
        <v>140</v>
      </c>
      <c r="P215" t="s">
        <v>140</v>
      </c>
      <c r="Q215" t="s">
        <v>140</v>
      </c>
      <c r="R215" t="s">
        <v>140</v>
      </c>
      <c r="S215" t="s">
        <v>101</v>
      </c>
    </row>
    <row r="216" spans="1:27" x14ac:dyDescent="0.35">
      <c r="C216" t="str">
        <f>CONCATENATE(EFs_3135[[#This Row],[Thema]]," - ",EFs_3135[[#This Row],[Bezeichnung]])</f>
        <v>Relevante_Stoffströme - Plastikmüll (t)</v>
      </c>
      <c r="D216" s="2" t="str">
        <f t="shared" si="37"/>
        <v>Relevante_Stoffströme</v>
      </c>
      <c r="E216" t="s">
        <v>437</v>
      </c>
      <c r="F216" t="s">
        <v>441</v>
      </c>
      <c r="G216">
        <v>0</v>
      </c>
      <c r="H216">
        <v>0</v>
      </c>
      <c r="I216">
        <v>0</v>
      </c>
      <c r="J216">
        <v>21.281000000000002</v>
      </c>
      <c r="K216" t="s">
        <v>140</v>
      </c>
      <c r="L216" t="s">
        <v>140</v>
      </c>
      <c r="M216" t="s">
        <v>140</v>
      </c>
      <c r="N216" t="s">
        <v>568</v>
      </c>
      <c r="O216" t="s">
        <v>140</v>
      </c>
      <c r="P216" t="s">
        <v>140</v>
      </c>
      <c r="Q216" t="s">
        <v>140</v>
      </c>
      <c r="R216" t="s">
        <v>140</v>
      </c>
      <c r="S216" t="s">
        <v>101</v>
      </c>
    </row>
    <row r="217" spans="1:27" ht="16.5" x14ac:dyDescent="0.35">
      <c r="C217" t="str">
        <f>CONCATENATE(EFs_3135[[#This Row],[Thema]]," - ",EFs_3135[[#This Row],[Bezeichnung]])</f>
        <v>Relevante_Stoffströme - Plastikmüll (m3)</v>
      </c>
      <c r="D217" s="2" t="str">
        <f t="shared" si="37"/>
        <v>Relevante_Stoffströme</v>
      </c>
      <c r="E217" t="s">
        <v>447</v>
      </c>
      <c r="F217" t="s">
        <v>320</v>
      </c>
      <c r="G217">
        <v>0</v>
      </c>
      <c r="H217">
        <v>0</v>
      </c>
      <c r="I217">
        <v>0</v>
      </c>
      <c r="J217">
        <v>0.63843000000000005</v>
      </c>
      <c r="K217" t="s">
        <v>140</v>
      </c>
      <c r="L217" t="s">
        <v>140</v>
      </c>
      <c r="M217" t="s">
        <v>140</v>
      </c>
      <c r="N217" t="s">
        <v>568</v>
      </c>
      <c r="O217" t="s">
        <v>140</v>
      </c>
      <c r="P217" t="s">
        <v>140</v>
      </c>
      <c r="Q217" t="s">
        <v>140</v>
      </c>
      <c r="R217" t="s">
        <v>140</v>
      </c>
      <c r="S217" t="s">
        <v>101</v>
      </c>
    </row>
    <row r="218" spans="1:27" x14ac:dyDescent="0.35">
      <c r="C218" t="str">
        <f>CONCATENATE(EFs_3135[[#This Row],[Thema]]," - ",EFs_3135[[#This Row],[Bezeichnung]])</f>
        <v>Relevante_Stoffströme - Restmüll (t)</v>
      </c>
      <c r="D218" s="2" t="str">
        <f t="shared" si="37"/>
        <v>Relevante_Stoffströme</v>
      </c>
      <c r="E218" t="s">
        <v>438</v>
      </c>
      <c r="F218" t="s">
        <v>441</v>
      </c>
      <c r="G218">
        <v>0</v>
      </c>
      <c r="H218">
        <v>0</v>
      </c>
      <c r="I218">
        <v>0</v>
      </c>
      <c r="J218">
        <v>21.281000000000002</v>
      </c>
      <c r="K218" t="s">
        <v>140</v>
      </c>
      <c r="L218" t="s">
        <v>140</v>
      </c>
      <c r="M218" t="s">
        <v>140</v>
      </c>
      <c r="N218" t="s">
        <v>569</v>
      </c>
      <c r="O218" t="s">
        <v>140</v>
      </c>
      <c r="P218" t="s">
        <v>140</v>
      </c>
      <c r="Q218" t="s">
        <v>140</v>
      </c>
      <c r="R218" t="s">
        <v>140</v>
      </c>
      <c r="S218" t="s">
        <v>101</v>
      </c>
    </row>
    <row r="219" spans="1:27" ht="16.5" x14ac:dyDescent="0.35">
      <c r="C219" t="str">
        <f>CONCATENATE(EFs_3135[[#This Row],[Thema]]," - ",EFs_3135[[#This Row],[Bezeichnung]])</f>
        <v>Relevante_Stoffströme - Restmüll (m3)</v>
      </c>
      <c r="D219" s="2" t="str">
        <f t="shared" si="37"/>
        <v>Relevante_Stoffströme</v>
      </c>
      <c r="E219" t="s">
        <v>448</v>
      </c>
      <c r="F219" t="s">
        <v>320</v>
      </c>
      <c r="G219">
        <v>0</v>
      </c>
      <c r="H219">
        <v>0</v>
      </c>
      <c r="I219">
        <v>0</v>
      </c>
      <c r="J219">
        <v>2.1281000000000003</v>
      </c>
      <c r="K219" t="s">
        <v>140</v>
      </c>
      <c r="L219" t="s">
        <v>140</v>
      </c>
      <c r="M219" t="s">
        <v>140</v>
      </c>
      <c r="N219" t="s">
        <v>569</v>
      </c>
      <c r="O219" t="s">
        <v>140</v>
      </c>
      <c r="P219" t="s">
        <v>140</v>
      </c>
      <c r="Q219" t="s">
        <v>140</v>
      </c>
      <c r="R219" t="s">
        <v>140</v>
      </c>
      <c r="S219" t="s">
        <v>101</v>
      </c>
    </row>
    <row r="220" spans="1:27" x14ac:dyDescent="0.35">
      <c r="C220" t="str">
        <f>CONCATENATE(EFs_3135[[#This Row],[Thema]]," - ",EFs_3135[[#This Row],[Bezeichnung]])</f>
        <v>Relevante_Stoffströme - Biomüll (t)</v>
      </c>
      <c r="D220" s="2" t="str">
        <f t="shared" si="37"/>
        <v>Relevante_Stoffströme</v>
      </c>
      <c r="E220" t="s">
        <v>439</v>
      </c>
      <c r="F220" t="s">
        <v>441</v>
      </c>
      <c r="G220">
        <v>0</v>
      </c>
      <c r="H220">
        <v>0</v>
      </c>
      <c r="I220">
        <v>0</v>
      </c>
      <c r="J220">
        <v>8.911999999999999</v>
      </c>
      <c r="K220" t="s">
        <v>140</v>
      </c>
      <c r="L220" t="s">
        <v>140</v>
      </c>
      <c r="M220" t="s">
        <v>140</v>
      </c>
      <c r="N220" t="s">
        <v>570</v>
      </c>
      <c r="O220" t="s">
        <v>140</v>
      </c>
      <c r="P220" t="s">
        <v>140</v>
      </c>
      <c r="Q220" t="s">
        <v>140</v>
      </c>
      <c r="R220" t="s">
        <v>140</v>
      </c>
      <c r="S220" t="s">
        <v>101</v>
      </c>
    </row>
    <row r="221" spans="1:27" ht="16.5" x14ac:dyDescent="0.35">
      <c r="C221" t="str">
        <f>CONCATENATE(EFs_3135[[#This Row],[Thema]]," - ",EFs_3135[[#This Row],[Bezeichnung]])</f>
        <v>Relevante_Stoffströme - Biomüll (m3)</v>
      </c>
      <c r="D221" s="2" t="str">
        <f t="shared" si="37"/>
        <v>Relevante_Stoffströme</v>
      </c>
      <c r="E221" t="s">
        <v>449</v>
      </c>
      <c r="F221" t="s">
        <v>320</v>
      </c>
      <c r="G221">
        <v>0</v>
      </c>
      <c r="H221">
        <v>0</v>
      </c>
      <c r="I221">
        <v>0</v>
      </c>
      <c r="J221">
        <v>2.2279999999999998</v>
      </c>
      <c r="K221" t="s">
        <v>140</v>
      </c>
      <c r="L221" t="s">
        <v>140</v>
      </c>
      <c r="M221" t="s">
        <v>140</v>
      </c>
      <c r="N221" t="s">
        <v>570</v>
      </c>
      <c r="O221" t="s">
        <v>140</v>
      </c>
      <c r="P221" t="s">
        <v>140</v>
      </c>
      <c r="Q221" t="s">
        <v>140</v>
      </c>
      <c r="R221" t="s">
        <v>140</v>
      </c>
      <c r="S221" t="s">
        <v>101</v>
      </c>
    </row>
    <row r="222" spans="1:27" x14ac:dyDescent="0.35">
      <c r="C222" t="str">
        <f>CONCATENATE(EFs_3135[[#This Row],[Thema]]," - ",EFs_3135[[#This Row],[Bezeichnung]])</f>
        <v>Relevante_Stoffströme - Altglas (t)</v>
      </c>
      <c r="D222" s="2" t="str">
        <f t="shared" si="37"/>
        <v>Relevante_Stoffströme</v>
      </c>
      <c r="E222" t="s">
        <v>440</v>
      </c>
      <c r="F222" t="s">
        <v>441</v>
      </c>
      <c r="G222">
        <v>0</v>
      </c>
      <c r="H222">
        <v>0</v>
      </c>
      <c r="I222">
        <v>0</v>
      </c>
      <c r="J222">
        <v>21.281000000000002</v>
      </c>
      <c r="K222" t="s">
        <v>140</v>
      </c>
      <c r="L222" t="s">
        <v>140</v>
      </c>
      <c r="M222" t="s">
        <v>140</v>
      </c>
      <c r="N222" t="s">
        <v>571</v>
      </c>
      <c r="O222" t="s">
        <v>140</v>
      </c>
      <c r="P222" t="s">
        <v>140</v>
      </c>
      <c r="Q222" t="s">
        <v>140</v>
      </c>
      <c r="R222" t="s">
        <v>140</v>
      </c>
      <c r="S222" t="s">
        <v>101</v>
      </c>
    </row>
    <row r="223" spans="1:27" ht="16.5" x14ac:dyDescent="0.35">
      <c r="C223" t="str">
        <f>CONCATENATE(EFs_3135[[#This Row],[Thema]]," - ",EFs_3135[[#This Row],[Bezeichnung]])</f>
        <v>Relevante_Stoffströme - Altglas (m3)</v>
      </c>
      <c r="D223" s="2" t="str">
        <f t="shared" si="37"/>
        <v>Relevante_Stoffströme</v>
      </c>
      <c r="E223" t="s">
        <v>450</v>
      </c>
      <c r="F223" t="s">
        <v>320</v>
      </c>
      <c r="G223">
        <v>0</v>
      </c>
      <c r="H223">
        <v>0</v>
      </c>
      <c r="I223">
        <v>0</v>
      </c>
      <c r="J223">
        <v>8.5124000000000013</v>
      </c>
      <c r="K223" t="s">
        <v>140</v>
      </c>
      <c r="L223" t="s">
        <v>140</v>
      </c>
      <c r="M223" t="s">
        <v>140</v>
      </c>
      <c r="N223" t="s">
        <v>571</v>
      </c>
      <c r="O223" t="s">
        <v>140</v>
      </c>
      <c r="P223" t="s">
        <v>140</v>
      </c>
      <c r="Q223" t="s">
        <v>140</v>
      </c>
      <c r="R223" t="s">
        <v>140</v>
      </c>
      <c r="S223" t="s">
        <v>101</v>
      </c>
    </row>
    <row r="224" spans="1:27" s="95" customFormat="1" x14ac:dyDescent="0.35">
      <c r="A224" s="285" t="s">
        <v>384</v>
      </c>
      <c r="B224"/>
      <c r="C224" s="95" t="str">
        <f>CONCATENATE(EFs_3135[[#This Row],[Thema]]," - ",EFs_3135[[#This Row],[Bezeichnung]])</f>
        <v xml:space="preserve">Relevante_Stoffströme - </v>
      </c>
      <c r="D224" s="2" t="str">
        <f t="shared" si="36"/>
        <v>Relevante_Stoffströme</v>
      </c>
      <c r="P224" t="str">
        <f t="shared" ref="P224:Q228" si="38">"-"</f>
        <v>-</v>
      </c>
      <c r="Q224" t="str">
        <f t="shared" si="38"/>
        <v>-</v>
      </c>
      <c r="R224"/>
      <c r="S224"/>
      <c r="T224"/>
      <c r="U224"/>
      <c r="V224"/>
      <c r="W224"/>
      <c r="X224"/>
      <c r="Y224"/>
      <c r="Z224"/>
      <c r="AA224"/>
    </row>
    <row r="225" spans="1:27" s="95" customFormat="1" x14ac:dyDescent="0.35">
      <c r="A225" s="285" t="s">
        <v>384</v>
      </c>
      <c r="B225"/>
      <c r="C225" s="95" t="str">
        <f>CONCATENATE(EFs_3135[[#This Row],[Thema]]," - ",EFs_3135[[#This Row],[Bezeichnung]])</f>
        <v xml:space="preserve">Relevante_Stoffströme - </v>
      </c>
      <c r="D225" s="2" t="str">
        <f t="shared" si="36"/>
        <v>Relevante_Stoffströme</v>
      </c>
      <c r="P225" t="str">
        <f t="shared" si="38"/>
        <v>-</v>
      </c>
      <c r="Q225" t="str">
        <f t="shared" si="38"/>
        <v>-</v>
      </c>
      <c r="R225"/>
      <c r="S225"/>
      <c r="T225"/>
      <c r="U225"/>
      <c r="V225"/>
      <c r="W225"/>
      <c r="X225"/>
      <c r="Y225"/>
      <c r="Z225"/>
      <c r="AA225"/>
    </row>
    <row r="226" spans="1:27" s="95" customFormat="1" x14ac:dyDescent="0.35">
      <c r="A226" s="285" t="s">
        <v>384</v>
      </c>
      <c r="B226"/>
      <c r="C226" s="95" t="str">
        <f>CONCATENATE(EFs_3135[[#This Row],[Thema]]," - ",EFs_3135[[#This Row],[Bezeichnung]])</f>
        <v xml:space="preserve">Relevante_Stoffströme - </v>
      </c>
      <c r="D226" s="2" t="str">
        <f t="shared" si="36"/>
        <v>Relevante_Stoffströme</v>
      </c>
      <c r="P226" t="str">
        <f t="shared" si="38"/>
        <v>-</v>
      </c>
      <c r="Q226" t="str">
        <f t="shared" si="38"/>
        <v>-</v>
      </c>
      <c r="R226"/>
      <c r="S226"/>
      <c r="T226"/>
      <c r="U226"/>
      <c r="V226"/>
      <c r="W226"/>
      <c r="X226"/>
      <c r="Y226"/>
      <c r="Z226"/>
      <c r="AA226"/>
    </row>
    <row r="227" spans="1:27" s="95" customFormat="1" x14ac:dyDescent="0.35">
      <c r="A227" s="285" t="s">
        <v>384</v>
      </c>
      <c r="B227"/>
      <c r="C227" s="95" t="str">
        <f>CONCATENATE(EFs_3135[[#This Row],[Thema]]," - ",EFs_3135[[#This Row],[Bezeichnung]])</f>
        <v xml:space="preserve">Relevante_Stoffströme - </v>
      </c>
      <c r="D227" s="286" t="str">
        <f t="shared" si="36"/>
        <v>Relevante_Stoffströme</v>
      </c>
      <c r="P227" t="str">
        <f t="shared" si="38"/>
        <v>-</v>
      </c>
      <c r="Q227" t="str">
        <f t="shared" si="38"/>
        <v>-</v>
      </c>
      <c r="T227"/>
      <c r="U227"/>
      <c r="V227"/>
      <c r="W227"/>
      <c r="X227"/>
      <c r="Y227"/>
      <c r="Z227"/>
      <c r="AA227"/>
    </row>
    <row r="228" spans="1:27" s="95" customFormat="1" x14ac:dyDescent="0.35">
      <c r="A228" s="285" t="s">
        <v>384</v>
      </c>
      <c r="B228"/>
      <c r="C228" s="95" t="str">
        <f>CONCATENATE(EFs_3135[[#This Row],[Thema]]," - ",EFs_3135[[#This Row],[Bezeichnung]])</f>
        <v xml:space="preserve">Relevante_Stoffströme - </v>
      </c>
      <c r="D228" s="286" t="str">
        <f t="shared" si="36"/>
        <v>Relevante_Stoffströme</v>
      </c>
      <c r="P228" t="str">
        <f t="shared" si="38"/>
        <v>-</v>
      </c>
      <c r="Q228" t="str">
        <f t="shared" si="38"/>
        <v>-</v>
      </c>
      <c r="T228"/>
      <c r="U228"/>
      <c r="V228"/>
      <c r="W228"/>
      <c r="X228"/>
      <c r="Y228"/>
      <c r="Z228"/>
      <c r="AA228"/>
    </row>
  </sheetData>
  <sheetProtection algorithmName="SHA-512" hashValue="8k6GjP3vEu2JJGeX/YYAFo2SV4cdm6nwYG4992KPKTBdwuTUzlvv7tBeXJ18xZFBm4qq9fxMdBtCSOQj2L3vSg==" saltValue="H3SFp2GdOAixJfPNbvSxZg==" spinCount="100000" sheet="1" insertRows="0"/>
  <mergeCells count="14">
    <mergeCell ref="A178:B179"/>
    <mergeCell ref="A193:B194"/>
    <mergeCell ref="A203:B204"/>
    <mergeCell ref="A165:B166"/>
    <mergeCell ref="A88:B88"/>
    <mergeCell ref="A129:B129"/>
    <mergeCell ref="A144:B145"/>
    <mergeCell ref="A117:B118"/>
    <mergeCell ref="A100:B101"/>
    <mergeCell ref="D5:I5"/>
    <mergeCell ref="D4:I4"/>
    <mergeCell ref="A8:B8"/>
    <mergeCell ref="A27:B27"/>
    <mergeCell ref="A37:B38"/>
  </mergeCells>
  <phoneticPr fontId="2" type="noConversion"/>
  <pageMargins left="0.7" right="0.7" top="0.78740157499999996" bottom="0.78740157499999996" header="0.3" footer="0.3"/>
  <pageSetup paperSize="9" orientation="portrait"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89D1F-2E05-4E45-BF8C-6E7AD5F0C7F6}">
  <sheetPr>
    <tabColor rgb="FFE0D1FF"/>
  </sheetPr>
  <dimension ref="A1:P152"/>
  <sheetViews>
    <sheetView workbookViewId="0"/>
  </sheetViews>
  <sheetFormatPr baseColWidth="10" defaultRowHeight="14.5" x14ac:dyDescent="0.35"/>
  <cols>
    <col min="1" max="1" width="21.453125" customWidth="1"/>
    <col min="2" max="2" width="32.81640625" customWidth="1"/>
    <col min="3" max="3" width="17.90625" customWidth="1"/>
    <col min="4" max="12" width="16.6328125" customWidth="1"/>
    <col min="13" max="15" width="21.26953125" customWidth="1"/>
    <col min="16" max="16" width="64" customWidth="1"/>
    <col min="18" max="18" width="25" customWidth="1"/>
    <col min="19" max="20" width="25.90625" customWidth="1"/>
    <col min="21" max="21" width="28" customWidth="1"/>
    <col min="22" max="22" width="21.54296875" customWidth="1"/>
  </cols>
  <sheetData>
    <row r="1" spans="1:16" ht="18.5" x14ac:dyDescent="0.45">
      <c r="A1" s="5" t="s">
        <v>480</v>
      </c>
    </row>
    <row r="2" spans="1:16" ht="4.5" customHeight="1" x14ac:dyDescent="0.45">
      <c r="A2" s="5"/>
    </row>
    <row r="3" spans="1:16" s="15" customFormat="1" ht="18.5" customHeight="1" x14ac:dyDescent="0.35">
      <c r="A3" s="359" t="s">
        <v>366</v>
      </c>
      <c r="B3" s="472" t="s">
        <v>479</v>
      </c>
      <c r="C3" s="472"/>
      <c r="D3" s="472"/>
    </row>
    <row r="4" spans="1:16" s="15" customFormat="1" ht="18.5" customHeight="1" x14ac:dyDescent="0.35">
      <c r="A4" s="358" t="s">
        <v>14</v>
      </c>
      <c r="B4" s="474" t="s">
        <v>481</v>
      </c>
      <c r="C4" s="474"/>
      <c r="D4" s="474"/>
    </row>
    <row r="5" spans="1:16" s="15" customFormat="1" ht="32" customHeight="1" x14ac:dyDescent="0.35">
      <c r="A5" s="358" t="s">
        <v>77</v>
      </c>
      <c r="B5" s="473" t="s">
        <v>482</v>
      </c>
      <c r="C5" s="473"/>
      <c r="D5" s="473"/>
    </row>
    <row r="6" spans="1:16" s="15" customFormat="1" ht="47.5" customHeight="1" x14ac:dyDescent="0.35">
      <c r="A6" s="358" t="s">
        <v>22</v>
      </c>
      <c r="B6" s="473" t="s">
        <v>483</v>
      </c>
      <c r="C6" s="473"/>
      <c r="D6" s="473"/>
    </row>
    <row r="7" spans="1:16" ht="36" customHeight="1" x14ac:dyDescent="0.35">
      <c r="B7" s="356"/>
    </row>
    <row r="8" spans="1:16" ht="18.5" x14ac:dyDescent="0.45">
      <c r="A8" s="357" t="s">
        <v>125</v>
      </c>
      <c r="C8" s="331"/>
    </row>
    <row r="9" spans="1:16" ht="20" customHeight="1" x14ac:dyDescent="0.35">
      <c r="C9" s="331"/>
      <c r="D9" s="475" t="s">
        <v>265</v>
      </c>
      <c r="E9" s="476"/>
      <c r="F9" s="477"/>
      <c r="G9" s="478" t="s">
        <v>266</v>
      </c>
      <c r="H9" s="479"/>
      <c r="I9" s="480"/>
      <c r="J9" s="481" t="s">
        <v>267</v>
      </c>
      <c r="K9" s="482"/>
      <c r="L9" s="483"/>
      <c r="M9" s="484" t="s">
        <v>454</v>
      </c>
      <c r="N9" s="485"/>
      <c r="O9" s="486"/>
    </row>
    <row r="10" spans="1:16" s="15" customFormat="1" ht="73" thickBot="1" x14ac:dyDescent="0.4">
      <c r="A10" s="15" t="s">
        <v>0</v>
      </c>
      <c r="B10" s="15" t="s">
        <v>1</v>
      </c>
      <c r="C10" s="15" t="s">
        <v>59</v>
      </c>
      <c r="D10" s="332" t="s">
        <v>470</v>
      </c>
      <c r="E10" s="332" t="s">
        <v>471</v>
      </c>
      <c r="F10" s="332" t="s">
        <v>457</v>
      </c>
      <c r="G10" s="333" t="s">
        <v>472</v>
      </c>
      <c r="H10" s="333" t="s">
        <v>473</v>
      </c>
      <c r="I10" s="333" t="s">
        <v>460</v>
      </c>
      <c r="J10" s="334" t="s">
        <v>474</v>
      </c>
      <c r="K10" s="334" t="s">
        <v>475</v>
      </c>
      <c r="L10" s="334" t="s">
        <v>461</v>
      </c>
      <c r="M10" s="335" t="s">
        <v>476</v>
      </c>
      <c r="N10" s="336" t="s">
        <v>477</v>
      </c>
      <c r="O10" s="336" t="s">
        <v>462</v>
      </c>
      <c r="P10" s="337" t="s">
        <v>463</v>
      </c>
    </row>
    <row r="11" spans="1:16" ht="15" thickTop="1" x14ac:dyDescent="0.35">
      <c r="A11" t="s">
        <v>14</v>
      </c>
      <c r="B11" t="s">
        <v>407</v>
      </c>
      <c r="C11" t="s">
        <v>269</v>
      </c>
      <c r="D11" s="338">
        <v>0.1818371</v>
      </c>
      <c r="E11" s="338">
        <v>0.18204480000000001</v>
      </c>
      <c r="F11" s="339">
        <v>-1.1409279474063807E-3</v>
      </c>
      <c r="G11" s="340">
        <v>0</v>
      </c>
      <c r="H11" s="340">
        <v>0</v>
      </c>
      <c r="I11" s="341" t="s">
        <v>140</v>
      </c>
      <c r="J11" s="342">
        <v>5.0259199999999997E-2</v>
      </c>
      <c r="K11" s="342">
        <v>3.50725E-2</v>
      </c>
      <c r="L11" s="343">
        <v>0.433008767552926</v>
      </c>
      <c r="M11" s="344" t="s">
        <v>140</v>
      </c>
      <c r="N11" s="344" t="s">
        <v>140</v>
      </c>
      <c r="O11" s="345" t="s">
        <v>140</v>
      </c>
      <c r="P11" s="346" t="s">
        <v>140</v>
      </c>
    </row>
    <row r="12" spans="1:16" x14ac:dyDescent="0.35">
      <c r="A12" t="s">
        <v>14</v>
      </c>
      <c r="B12" t="s">
        <v>484</v>
      </c>
      <c r="C12" t="s">
        <v>485</v>
      </c>
      <c r="D12" s="347">
        <v>1.9602040000000001</v>
      </c>
      <c r="E12" s="347">
        <v>1.9624429000000001</v>
      </c>
      <c r="F12" s="348">
        <v>-1.1408739586767306E-3</v>
      </c>
      <c r="G12" s="349">
        <v>0</v>
      </c>
      <c r="H12" s="349">
        <v>0</v>
      </c>
      <c r="I12" s="350" t="s">
        <v>140</v>
      </c>
      <c r="J12" s="351">
        <v>0.54179390000000005</v>
      </c>
      <c r="K12" s="351">
        <v>0.37808180000000002</v>
      </c>
      <c r="L12" s="352">
        <v>0.43300709000010057</v>
      </c>
      <c r="M12" s="353" t="s">
        <v>140</v>
      </c>
      <c r="N12" s="353" t="s">
        <v>140</v>
      </c>
      <c r="O12" s="354" t="s">
        <v>140</v>
      </c>
      <c r="P12" s="346" t="s">
        <v>140</v>
      </c>
    </row>
    <row r="13" spans="1:16" x14ac:dyDescent="0.35">
      <c r="A13" t="s">
        <v>14</v>
      </c>
      <c r="B13" t="s">
        <v>410</v>
      </c>
      <c r="C13" t="s">
        <v>269</v>
      </c>
      <c r="D13" s="338">
        <v>2.55477E-2</v>
      </c>
      <c r="E13" s="338">
        <v>2.55477E-2</v>
      </c>
      <c r="F13" s="339">
        <v>0</v>
      </c>
      <c r="G13" s="340">
        <v>0</v>
      </c>
      <c r="H13" s="340">
        <v>0</v>
      </c>
      <c r="I13" s="341" t="s">
        <v>140</v>
      </c>
      <c r="J13" s="342">
        <v>0.1204938</v>
      </c>
      <c r="K13" s="342">
        <v>0.1198425</v>
      </c>
      <c r="L13" s="343">
        <v>5.4346329557543741E-3</v>
      </c>
      <c r="M13" s="344" t="s">
        <v>140</v>
      </c>
      <c r="N13" s="344" t="s">
        <v>140</v>
      </c>
      <c r="O13" s="345" t="s">
        <v>140</v>
      </c>
      <c r="P13" s="346" t="s">
        <v>140</v>
      </c>
    </row>
    <row r="14" spans="1:16" x14ac:dyDescent="0.35">
      <c r="A14" t="s">
        <v>14</v>
      </c>
      <c r="B14" t="s">
        <v>486</v>
      </c>
      <c r="C14" t="s">
        <v>485</v>
      </c>
      <c r="D14" s="347">
        <v>0.27540389999999998</v>
      </c>
      <c r="E14" s="347">
        <v>0.27540389999999998</v>
      </c>
      <c r="F14" s="348">
        <v>0</v>
      </c>
      <c r="G14" s="349">
        <v>0</v>
      </c>
      <c r="H14" s="349">
        <v>0</v>
      </c>
      <c r="I14" s="350" t="s">
        <v>140</v>
      </c>
      <c r="J14" s="351">
        <v>1.2989227999999999</v>
      </c>
      <c r="K14" s="351">
        <v>1.2919023999999999</v>
      </c>
      <c r="L14" s="352">
        <v>5.4341566359811999E-3</v>
      </c>
      <c r="M14" s="353" t="s">
        <v>140</v>
      </c>
      <c r="N14" s="353" t="s">
        <v>140</v>
      </c>
      <c r="O14" s="354" t="s">
        <v>140</v>
      </c>
      <c r="P14" s="346" t="s">
        <v>140</v>
      </c>
    </row>
    <row r="15" spans="1:16" x14ac:dyDescent="0.35">
      <c r="A15" t="s">
        <v>14</v>
      </c>
      <c r="B15" t="s">
        <v>82</v>
      </c>
      <c r="C15" t="s">
        <v>270</v>
      </c>
      <c r="D15" s="338">
        <v>0.26699800000000001</v>
      </c>
      <c r="E15" s="338">
        <v>2.6675999999999998E-2</v>
      </c>
      <c r="F15" s="339">
        <v>9.0089218773429316</v>
      </c>
      <c r="G15" s="340">
        <v>0</v>
      </c>
      <c r="H15" s="340">
        <v>0</v>
      </c>
      <c r="I15" s="341" t="s">
        <v>140</v>
      </c>
      <c r="J15" s="342">
        <v>4.5747999999999997E-2</v>
      </c>
      <c r="K15" s="342">
        <v>4.3920000000000001E-2</v>
      </c>
      <c r="L15" s="343">
        <v>4.1621129326047272E-2</v>
      </c>
      <c r="M15" s="344" t="s">
        <v>140</v>
      </c>
      <c r="N15" s="344" t="s">
        <v>140</v>
      </c>
      <c r="O15" s="345" t="s">
        <v>140</v>
      </c>
      <c r="P15" s="346" t="s">
        <v>487</v>
      </c>
    </row>
    <row r="16" spans="1:16" x14ac:dyDescent="0.35">
      <c r="A16" t="s">
        <v>14</v>
      </c>
      <c r="B16" t="s">
        <v>83</v>
      </c>
      <c r="C16" t="s">
        <v>29</v>
      </c>
      <c r="D16" s="347">
        <v>2.6677906</v>
      </c>
      <c r="E16" s="347">
        <v>0.26654129999999998</v>
      </c>
      <c r="F16" s="348">
        <v>9.0089201936060199</v>
      </c>
      <c r="G16" s="349">
        <v>0</v>
      </c>
      <c r="H16" s="349">
        <v>0</v>
      </c>
      <c r="I16" s="350" t="s">
        <v>140</v>
      </c>
      <c r="J16" s="351">
        <v>0.45710489999999998</v>
      </c>
      <c r="K16" s="351">
        <v>0.4388399</v>
      </c>
      <c r="L16" s="352">
        <v>4.1621101454083771E-2</v>
      </c>
      <c r="M16" s="353" t="s">
        <v>140</v>
      </c>
      <c r="N16" s="353" t="s">
        <v>140</v>
      </c>
      <c r="O16" s="354" t="s">
        <v>140</v>
      </c>
      <c r="P16" s="346" t="s">
        <v>487</v>
      </c>
    </row>
    <row r="17" spans="1:16" x14ac:dyDescent="0.35">
      <c r="A17" t="s">
        <v>14</v>
      </c>
      <c r="B17" t="s">
        <v>428</v>
      </c>
      <c r="C17" t="s">
        <v>28</v>
      </c>
      <c r="D17" s="338">
        <v>0.23291999999999999</v>
      </c>
      <c r="E17" s="338" t="s">
        <v>488</v>
      </c>
      <c r="F17" s="339" t="s">
        <v>140</v>
      </c>
      <c r="G17" s="340">
        <v>0</v>
      </c>
      <c r="H17" s="340" t="s">
        <v>488</v>
      </c>
      <c r="I17" s="341" t="s">
        <v>140</v>
      </c>
      <c r="J17" s="342">
        <v>3.6035999999999999E-2</v>
      </c>
      <c r="K17" s="342" t="s">
        <v>488</v>
      </c>
      <c r="L17" s="343" t="s">
        <v>140</v>
      </c>
      <c r="M17" s="344" t="s">
        <v>140</v>
      </c>
      <c r="N17" s="344" t="s">
        <v>488</v>
      </c>
      <c r="O17" s="345" t="s">
        <v>140</v>
      </c>
      <c r="P17" s="346" t="s">
        <v>489</v>
      </c>
    </row>
    <row r="18" spans="1:16" x14ac:dyDescent="0.35">
      <c r="A18" t="s">
        <v>14</v>
      </c>
      <c r="B18" t="s">
        <v>429</v>
      </c>
      <c r="C18" t="s">
        <v>29</v>
      </c>
      <c r="D18" s="347">
        <v>1.6242909999999999</v>
      </c>
      <c r="E18" s="347" t="s">
        <v>488</v>
      </c>
      <c r="F18" s="348" t="s">
        <v>140</v>
      </c>
      <c r="G18" s="349">
        <v>0</v>
      </c>
      <c r="H18" s="349" t="s">
        <v>488</v>
      </c>
      <c r="I18" s="350" t="s">
        <v>140</v>
      </c>
      <c r="J18" s="351">
        <v>0.25130059999999999</v>
      </c>
      <c r="K18" s="351" t="s">
        <v>488</v>
      </c>
      <c r="L18" s="352" t="s">
        <v>140</v>
      </c>
      <c r="M18" s="353" t="s">
        <v>140</v>
      </c>
      <c r="N18" s="353" t="s">
        <v>488</v>
      </c>
      <c r="O18" s="354" t="s">
        <v>140</v>
      </c>
      <c r="P18" s="346" t="s">
        <v>489</v>
      </c>
    </row>
    <row r="19" spans="1:16" x14ac:dyDescent="0.35">
      <c r="A19" t="s">
        <v>14</v>
      </c>
      <c r="B19" t="s">
        <v>334</v>
      </c>
      <c r="C19" t="s">
        <v>28</v>
      </c>
      <c r="D19" s="338">
        <v>0</v>
      </c>
      <c r="E19" s="338">
        <v>0</v>
      </c>
      <c r="F19" s="339" t="s">
        <v>140</v>
      </c>
      <c r="G19" s="340">
        <v>0.26480199999999998</v>
      </c>
      <c r="H19" s="340">
        <v>0.25260899999999997</v>
      </c>
      <c r="I19" s="341">
        <v>4.8268272310171098E-2</v>
      </c>
      <c r="J19" s="342">
        <v>4.2714000000000002E-2</v>
      </c>
      <c r="K19" s="342">
        <v>4.2610000000000002E-2</v>
      </c>
      <c r="L19" s="343">
        <v>2.4407416099507138E-3</v>
      </c>
      <c r="M19" s="344" t="s">
        <v>140</v>
      </c>
      <c r="N19" s="344" t="s">
        <v>140</v>
      </c>
      <c r="O19" s="345" t="s">
        <v>140</v>
      </c>
      <c r="P19" s="346" t="s">
        <v>140</v>
      </c>
    </row>
    <row r="20" spans="1:16" x14ac:dyDescent="0.35">
      <c r="A20" t="s">
        <v>14</v>
      </c>
      <c r="B20" t="s">
        <v>70</v>
      </c>
      <c r="C20" t="s">
        <v>28</v>
      </c>
      <c r="D20" s="347">
        <v>0</v>
      </c>
      <c r="E20" s="347">
        <v>0</v>
      </c>
      <c r="F20" s="348" t="s">
        <v>140</v>
      </c>
      <c r="G20" s="349">
        <v>0</v>
      </c>
      <c r="H20" s="349">
        <v>0</v>
      </c>
      <c r="I20" s="350" t="s">
        <v>140</v>
      </c>
      <c r="J20" s="351">
        <v>4.2714000000000002E-2</v>
      </c>
      <c r="K20" s="351">
        <v>4.2610000000000002E-2</v>
      </c>
      <c r="L20" s="352">
        <v>2.4407416099507138E-3</v>
      </c>
      <c r="M20" s="353" t="s">
        <v>140</v>
      </c>
      <c r="N20" s="353" t="s">
        <v>140</v>
      </c>
      <c r="O20" s="354" t="s">
        <v>140</v>
      </c>
      <c r="P20" s="346" t="s">
        <v>140</v>
      </c>
    </row>
    <row r="21" spans="1:16" x14ac:dyDescent="0.35">
      <c r="A21" t="s">
        <v>14</v>
      </c>
      <c r="B21" t="s">
        <v>26</v>
      </c>
      <c r="C21" t="s">
        <v>30</v>
      </c>
      <c r="D21" s="338">
        <v>1.635E-3</v>
      </c>
      <c r="E21" s="338">
        <v>1.6550000000000002E-3</v>
      </c>
      <c r="F21" s="339">
        <v>-1.2084592145015267E-2</v>
      </c>
      <c r="G21" s="340">
        <v>0</v>
      </c>
      <c r="H21" s="340">
        <v>0</v>
      </c>
      <c r="I21" s="341" t="s">
        <v>140</v>
      </c>
      <c r="J21" s="342">
        <v>9.0840000000000004E-2</v>
      </c>
      <c r="K21" s="342">
        <v>8.9925000000000005E-2</v>
      </c>
      <c r="L21" s="343">
        <v>1.0175145954962458E-2</v>
      </c>
      <c r="M21" s="344" t="s">
        <v>140</v>
      </c>
      <c r="N21" s="344" t="s">
        <v>140</v>
      </c>
      <c r="O21" s="345" t="s">
        <v>140</v>
      </c>
      <c r="P21" s="346" t="s">
        <v>140</v>
      </c>
    </row>
    <row r="22" spans="1:16" x14ac:dyDescent="0.35">
      <c r="A22" t="s">
        <v>14</v>
      </c>
      <c r="B22" t="s">
        <v>27</v>
      </c>
      <c r="C22" t="s">
        <v>28</v>
      </c>
      <c r="D22" s="347">
        <v>0</v>
      </c>
      <c r="E22" s="347">
        <v>0</v>
      </c>
      <c r="F22" s="348" t="s">
        <v>140</v>
      </c>
      <c r="G22" s="349">
        <v>0</v>
      </c>
      <c r="H22" s="349">
        <v>0</v>
      </c>
      <c r="I22" s="350" t="s">
        <v>140</v>
      </c>
      <c r="J22" s="351">
        <v>2.3011400000000001E-2</v>
      </c>
      <c r="K22" s="351">
        <v>2.26027E-2</v>
      </c>
      <c r="L22" s="352">
        <v>1.8081910568206516E-2</v>
      </c>
      <c r="M22" s="353" t="s">
        <v>140</v>
      </c>
      <c r="N22" s="353" t="s">
        <v>140</v>
      </c>
      <c r="O22" s="354" t="s">
        <v>140</v>
      </c>
      <c r="P22" s="346" t="s">
        <v>140</v>
      </c>
    </row>
    <row r="23" spans="1:16" x14ac:dyDescent="0.35">
      <c r="A23" t="s">
        <v>18</v>
      </c>
      <c r="B23" t="s">
        <v>143</v>
      </c>
      <c r="C23" t="s">
        <v>28</v>
      </c>
      <c r="D23" s="338">
        <v>0</v>
      </c>
      <c r="E23" s="338">
        <v>0</v>
      </c>
      <c r="F23" s="339" t="s">
        <v>140</v>
      </c>
      <c r="G23" s="340">
        <v>0.377</v>
      </c>
      <c r="H23" s="340">
        <v>0.35000000000000003</v>
      </c>
      <c r="I23" s="341">
        <v>7.7142857142857041E-2</v>
      </c>
      <c r="J23" s="342">
        <v>6.8519999999999998E-2</v>
      </c>
      <c r="K23" s="342">
        <v>4.0091000000000002E-2</v>
      </c>
      <c r="L23" s="343">
        <v>0.70911177072160825</v>
      </c>
      <c r="M23" s="344">
        <v>0</v>
      </c>
      <c r="N23" s="344">
        <v>0</v>
      </c>
      <c r="O23" s="345" t="s">
        <v>140</v>
      </c>
      <c r="P23" s="346" t="s">
        <v>140</v>
      </c>
    </row>
    <row r="24" spans="1:16" x14ac:dyDescent="0.35">
      <c r="A24" t="s">
        <v>18</v>
      </c>
      <c r="B24" t="s">
        <v>118</v>
      </c>
      <c r="C24" t="s">
        <v>28</v>
      </c>
      <c r="D24" s="347">
        <v>0</v>
      </c>
      <c r="E24" s="347">
        <v>0</v>
      </c>
      <c r="F24" s="348" t="s">
        <v>140</v>
      </c>
      <c r="G24" s="349">
        <v>0</v>
      </c>
      <c r="H24" s="349">
        <v>0</v>
      </c>
      <c r="I24" s="350" t="s">
        <v>140</v>
      </c>
      <c r="J24" s="351">
        <v>5.6563099999999998E-2</v>
      </c>
      <c r="K24" s="351">
        <v>5.6549999999999996E-2</v>
      </c>
      <c r="L24" s="352">
        <v>2.3165340406723254E-4</v>
      </c>
      <c r="M24" s="353">
        <v>0.747</v>
      </c>
      <c r="N24" s="353">
        <v>0.74</v>
      </c>
      <c r="O24" s="354">
        <v>9.4594594594594687E-3</v>
      </c>
      <c r="P24" s="346" t="s">
        <v>140</v>
      </c>
    </row>
    <row r="25" spans="1:16" x14ac:dyDescent="0.35">
      <c r="A25" t="s">
        <v>18</v>
      </c>
      <c r="B25" t="s">
        <v>141</v>
      </c>
      <c r="C25" t="s">
        <v>29</v>
      </c>
      <c r="D25" s="338">
        <v>2.4875411999999999</v>
      </c>
      <c r="E25" s="338">
        <v>2.4489999999999998</v>
      </c>
      <c r="F25" s="339">
        <v>1.5737525520620684E-2</v>
      </c>
      <c r="G25" s="340">
        <v>0</v>
      </c>
      <c r="H25" s="340">
        <v>0</v>
      </c>
      <c r="I25" s="341" t="s">
        <v>140</v>
      </c>
      <c r="J25" s="342">
        <v>0.84432660000000004</v>
      </c>
      <c r="K25" s="342">
        <v>0.59209999999999996</v>
      </c>
      <c r="L25" s="343">
        <v>0.4259864887687892</v>
      </c>
      <c r="M25" s="344">
        <v>0</v>
      </c>
      <c r="N25" s="344">
        <v>0</v>
      </c>
      <c r="O25" s="345" t="s">
        <v>140</v>
      </c>
      <c r="P25" s="346" t="s">
        <v>140</v>
      </c>
    </row>
    <row r="26" spans="1:16" x14ac:dyDescent="0.35">
      <c r="A26" t="s">
        <v>54</v>
      </c>
      <c r="B26" t="s">
        <v>150</v>
      </c>
      <c r="C26" t="s">
        <v>30</v>
      </c>
      <c r="D26" s="347">
        <v>12500</v>
      </c>
      <c r="E26" s="347">
        <v>12500</v>
      </c>
      <c r="F26" s="348">
        <v>0</v>
      </c>
      <c r="G26" s="349">
        <v>0</v>
      </c>
      <c r="H26" s="349">
        <v>0</v>
      </c>
      <c r="I26" s="350" t="s">
        <v>140</v>
      </c>
      <c r="J26" s="351">
        <v>0</v>
      </c>
      <c r="K26" s="351">
        <v>0</v>
      </c>
      <c r="L26" s="352" t="s">
        <v>140</v>
      </c>
      <c r="M26" s="353" t="s">
        <v>140</v>
      </c>
      <c r="N26" s="353" t="s">
        <v>140</v>
      </c>
      <c r="O26" s="354" t="s">
        <v>140</v>
      </c>
      <c r="P26" s="346" t="s">
        <v>140</v>
      </c>
    </row>
    <row r="27" spans="1:16" x14ac:dyDescent="0.35">
      <c r="A27" t="s">
        <v>54</v>
      </c>
      <c r="B27" t="s">
        <v>151</v>
      </c>
      <c r="C27" t="s">
        <v>30</v>
      </c>
      <c r="D27" s="338">
        <v>90.4</v>
      </c>
      <c r="E27" s="338">
        <v>90.4</v>
      </c>
      <c r="F27" s="339">
        <v>0</v>
      </c>
      <c r="G27" s="340">
        <v>0</v>
      </c>
      <c r="H27" s="340">
        <v>0</v>
      </c>
      <c r="I27" s="341" t="s">
        <v>140</v>
      </c>
      <c r="J27" s="342">
        <v>0</v>
      </c>
      <c r="K27" s="342">
        <v>0</v>
      </c>
      <c r="L27" s="343" t="s">
        <v>140</v>
      </c>
      <c r="M27" s="344" t="s">
        <v>140</v>
      </c>
      <c r="N27" s="344" t="s">
        <v>140</v>
      </c>
      <c r="O27" s="345" t="s">
        <v>140</v>
      </c>
      <c r="P27" s="346" t="s">
        <v>140</v>
      </c>
    </row>
    <row r="28" spans="1:16" x14ac:dyDescent="0.35">
      <c r="A28" t="s">
        <v>54</v>
      </c>
      <c r="B28" t="s">
        <v>152</v>
      </c>
      <c r="C28" t="s">
        <v>30</v>
      </c>
      <c r="D28" s="347">
        <v>1960</v>
      </c>
      <c r="E28" s="347">
        <v>1960</v>
      </c>
      <c r="F28" s="348">
        <v>0</v>
      </c>
      <c r="G28" s="349">
        <v>0</v>
      </c>
      <c r="H28" s="349">
        <v>0</v>
      </c>
      <c r="I28" s="350" t="s">
        <v>140</v>
      </c>
      <c r="J28" s="351">
        <v>0</v>
      </c>
      <c r="K28" s="351">
        <v>0</v>
      </c>
      <c r="L28" s="352" t="s">
        <v>140</v>
      </c>
      <c r="M28" s="353" t="s">
        <v>140</v>
      </c>
      <c r="N28" s="353" t="s">
        <v>140</v>
      </c>
      <c r="O28" s="354" t="s">
        <v>140</v>
      </c>
      <c r="P28" s="346" t="s">
        <v>140</v>
      </c>
    </row>
    <row r="29" spans="1:16" x14ac:dyDescent="0.35">
      <c r="A29" t="s">
        <v>54</v>
      </c>
      <c r="B29" t="s">
        <v>153</v>
      </c>
      <c r="C29" t="s">
        <v>30</v>
      </c>
      <c r="D29" s="338">
        <v>3740</v>
      </c>
      <c r="E29" s="338">
        <v>3740</v>
      </c>
      <c r="F29" s="339">
        <v>0</v>
      </c>
      <c r="G29" s="340">
        <v>0</v>
      </c>
      <c r="H29" s="340">
        <v>0</v>
      </c>
      <c r="I29" s="341" t="s">
        <v>140</v>
      </c>
      <c r="J29" s="342">
        <v>0</v>
      </c>
      <c r="K29" s="342">
        <v>0</v>
      </c>
      <c r="L29" s="343" t="s">
        <v>140</v>
      </c>
      <c r="M29" s="344" t="s">
        <v>140</v>
      </c>
      <c r="N29" s="344" t="s">
        <v>140</v>
      </c>
      <c r="O29" s="345" t="s">
        <v>140</v>
      </c>
      <c r="P29" s="346" t="s">
        <v>140</v>
      </c>
    </row>
    <row r="30" spans="1:16" x14ac:dyDescent="0.35">
      <c r="A30" t="s">
        <v>54</v>
      </c>
      <c r="B30" t="s">
        <v>154</v>
      </c>
      <c r="C30" t="s">
        <v>30</v>
      </c>
      <c r="D30" s="347">
        <v>1530</v>
      </c>
      <c r="E30" s="347">
        <v>1530</v>
      </c>
      <c r="F30" s="348">
        <v>0</v>
      </c>
      <c r="G30" s="349">
        <v>0</v>
      </c>
      <c r="H30" s="349">
        <v>0</v>
      </c>
      <c r="I30" s="350" t="s">
        <v>140</v>
      </c>
      <c r="J30" s="351">
        <v>0</v>
      </c>
      <c r="K30" s="351">
        <v>0</v>
      </c>
      <c r="L30" s="352" t="s">
        <v>140</v>
      </c>
      <c r="M30" s="353" t="s">
        <v>140</v>
      </c>
      <c r="N30" s="353" t="s">
        <v>140</v>
      </c>
      <c r="O30" s="354" t="s">
        <v>140</v>
      </c>
      <c r="P30" s="346" t="s">
        <v>140</v>
      </c>
    </row>
    <row r="31" spans="1:16" x14ac:dyDescent="0.35">
      <c r="A31" t="s">
        <v>54</v>
      </c>
      <c r="B31" t="s">
        <v>155</v>
      </c>
      <c r="C31" t="s">
        <v>30</v>
      </c>
      <c r="D31" s="338">
        <v>5810</v>
      </c>
      <c r="E31" s="338">
        <v>5810</v>
      </c>
      <c r="F31" s="339">
        <v>0</v>
      </c>
      <c r="G31" s="340">
        <v>0</v>
      </c>
      <c r="H31" s="340">
        <v>0</v>
      </c>
      <c r="I31" s="341" t="s">
        <v>140</v>
      </c>
      <c r="J31" s="342">
        <v>0</v>
      </c>
      <c r="K31" s="342">
        <v>0</v>
      </c>
      <c r="L31" s="343" t="s">
        <v>140</v>
      </c>
      <c r="M31" s="344" t="s">
        <v>140</v>
      </c>
      <c r="N31" s="344" t="s">
        <v>140</v>
      </c>
      <c r="O31" s="345" t="s">
        <v>140</v>
      </c>
      <c r="P31" s="346" t="s">
        <v>140</v>
      </c>
    </row>
    <row r="32" spans="1:16" x14ac:dyDescent="0.35">
      <c r="A32" t="s">
        <v>54</v>
      </c>
      <c r="B32" t="s">
        <v>156</v>
      </c>
      <c r="C32" t="s">
        <v>30</v>
      </c>
      <c r="D32" s="347">
        <v>3600</v>
      </c>
      <c r="E32" s="347">
        <v>3600</v>
      </c>
      <c r="F32" s="348">
        <v>0</v>
      </c>
      <c r="G32" s="349">
        <v>0</v>
      </c>
      <c r="H32" s="349">
        <v>0</v>
      </c>
      <c r="I32" s="350" t="s">
        <v>140</v>
      </c>
      <c r="J32" s="351">
        <v>0</v>
      </c>
      <c r="K32" s="351">
        <v>0</v>
      </c>
      <c r="L32" s="352" t="s">
        <v>140</v>
      </c>
      <c r="M32" s="353" t="s">
        <v>140</v>
      </c>
      <c r="N32" s="353" t="s">
        <v>140</v>
      </c>
      <c r="O32" s="354" t="s">
        <v>140</v>
      </c>
      <c r="P32" s="346" t="s">
        <v>140</v>
      </c>
    </row>
    <row r="33" spans="1:16" x14ac:dyDescent="0.35">
      <c r="A33" t="s">
        <v>54</v>
      </c>
      <c r="B33" t="s">
        <v>157</v>
      </c>
      <c r="C33" t="s">
        <v>30</v>
      </c>
      <c r="D33" s="338">
        <v>14600</v>
      </c>
      <c r="E33" s="338">
        <v>14600</v>
      </c>
      <c r="F33" s="339">
        <v>0</v>
      </c>
      <c r="G33" s="340">
        <v>0</v>
      </c>
      <c r="H33" s="340">
        <v>0</v>
      </c>
      <c r="I33" s="341" t="s">
        <v>140</v>
      </c>
      <c r="J33" s="342">
        <v>0</v>
      </c>
      <c r="K33" s="342">
        <v>0</v>
      </c>
      <c r="L33" s="343" t="s">
        <v>140</v>
      </c>
      <c r="M33" s="344" t="s">
        <v>140</v>
      </c>
      <c r="N33" s="344" t="s">
        <v>140</v>
      </c>
      <c r="O33" s="345" t="s">
        <v>140</v>
      </c>
      <c r="P33" s="346" t="s">
        <v>140</v>
      </c>
    </row>
    <row r="34" spans="1:16" x14ac:dyDescent="0.35">
      <c r="A34" t="s">
        <v>54</v>
      </c>
      <c r="B34" t="s">
        <v>158</v>
      </c>
      <c r="C34" t="s">
        <v>30</v>
      </c>
      <c r="D34" s="347">
        <v>771</v>
      </c>
      <c r="E34" s="347">
        <v>771</v>
      </c>
      <c r="F34" s="348">
        <v>0</v>
      </c>
      <c r="G34" s="349">
        <v>0</v>
      </c>
      <c r="H34" s="349">
        <v>0</v>
      </c>
      <c r="I34" s="350" t="s">
        <v>140</v>
      </c>
      <c r="J34" s="351">
        <v>0</v>
      </c>
      <c r="K34" s="351">
        <v>0</v>
      </c>
      <c r="L34" s="352" t="s">
        <v>140</v>
      </c>
      <c r="M34" s="353" t="s">
        <v>140</v>
      </c>
      <c r="N34" s="353" t="s">
        <v>140</v>
      </c>
      <c r="O34" s="354" t="s">
        <v>140</v>
      </c>
      <c r="P34" s="346" t="s">
        <v>140</v>
      </c>
    </row>
    <row r="35" spans="1:16" x14ac:dyDescent="0.35">
      <c r="A35" t="s">
        <v>54</v>
      </c>
      <c r="B35" t="s">
        <v>159</v>
      </c>
      <c r="C35" t="s">
        <v>30</v>
      </c>
      <c r="D35" s="338">
        <v>0.501</v>
      </c>
      <c r="E35" s="338">
        <v>0.501</v>
      </c>
      <c r="F35" s="339">
        <v>0</v>
      </c>
      <c r="G35" s="340">
        <v>0</v>
      </c>
      <c r="H35" s="340">
        <v>0</v>
      </c>
      <c r="I35" s="341" t="s">
        <v>140</v>
      </c>
      <c r="J35" s="342">
        <v>0</v>
      </c>
      <c r="K35" s="342">
        <v>0</v>
      </c>
      <c r="L35" s="343" t="s">
        <v>140</v>
      </c>
      <c r="M35" s="344" t="s">
        <v>140</v>
      </c>
      <c r="N35" s="344" t="s">
        <v>140</v>
      </c>
      <c r="O35" s="345" t="s">
        <v>140</v>
      </c>
      <c r="P35" s="346" t="s">
        <v>140</v>
      </c>
    </row>
    <row r="36" spans="1:16" x14ac:dyDescent="0.35">
      <c r="A36" t="s">
        <v>54</v>
      </c>
      <c r="B36" t="s">
        <v>160</v>
      </c>
      <c r="C36" t="s">
        <v>30</v>
      </c>
      <c r="D36" s="347">
        <v>0.315</v>
      </c>
      <c r="E36" s="347">
        <v>0.315</v>
      </c>
      <c r="F36" s="348">
        <v>0</v>
      </c>
      <c r="G36" s="349">
        <v>0</v>
      </c>
      <c r="H36" s="349">
        <v>0</v>
      </c>
      <c r="I36" s="350" t="s">
        <v>140</v>
      </c>
      <c r="J36" s="351">
        <v>0</v>
      </c>
      <c r="K36" s="351">
        <v>0</v>
      </c>
      <c r="L36" s="352" t="s">
        <v>140</v>
      </c>
      <c r="M36" s="353" t="s">
        <v>140</v>
      </c>
      <c r="N36" s="353" t="s">
        <v>140</v>
      </c>
      <c r="O36" s="354" t="s">
        <v>140</v>
      </c>
      <c r="P36" s="346" t="s">
        <v>140</v>
      </c>
    </row>
    <row r="37" spans="1:16" x14ac:dyDescent="0.35">
      <c r="A37" t="s">
        <v>54</v>
      </c>
      <c r="B37" t="s">
        <v>168</v>
      </c>
      <c r="C37" t="s">
        <v>30</v>
      </c>
      <c r="D37" s="338">
        <v>12400</v>
      </c>
      <c r="E37" s="338">
        <v>12400</v>
      </c>
      <c r="F37" s="339">
        <v>0</v>
      </c>
      <c r="G37" s="340">
        <v>0</v>
      </c>
      <c r="H37" s="340">
        <v>0</v>
      </c>
      <c r="I37" s="341" t="s">
        <v>140</v>
      </c>
      <c r="J37" s="342">
        <v>0</v>
      </c>
      <c r="K37" s="342">
        <v>0</v>
      </c>
      <c r="L37" s="343" t="s">
        <v>140</v>
      </c>
      <c r="M37" s="344" t="s">
        <v>140</v>
      </c>
      <c r="N37" s="344" t="s">
        <v>140</v>
      </c>
      <c r="O37" s="345" t="s">
        <v>140</v>
      </c>
      <c r="P37" s="346" t="s">
        <v>140</v>
      </c>
    </row>
    <row r="38" spans="1:16" x14ac:dyDescent="0.35">
      <c r="A38" t="s">
        <v>54</v>
      </c>
      <c r="B38" t="s">
        <v>161</v>
      </c>
      <c r="C38" t="s">
        <v>30</v>
      </c>
      <c r="D38" s="347">
        <v>3.7</v>
      </c>
      <c r="E38" s="347">
        <v>3.7</v>
      </c>
      <c r="F38" s="348">
        <v>0</v>
      </c>
      <c r="G38" s="349">
        <v>0</v>
      </c>
      <c r="H38" s="349">
        <v>0</v>
      </c>
      <c r="I38" s="350" t="s">
        <v>140</v>
      </c>
      <c r="J38" s="351">
        <v>0</v>
      </c>
      <c r="K38" s="351">
        <v>0</v>
      </c>
      <c r="L38" s="352" t="s">
        <v>140</v>
      </c>
      <c r="M38" s="353" t="s">
        <v>140</v>
      </c>
      <c r="N38" s="353" t="s">
        <v>140</v>
      </c>
      <c r="O38" s="354" t="s">
        <v>140</v>
      </c>
      <c r="P38" s="346" t="s">
        <v>140</v>
      </c>
    </row>
    <row r="39" spans="1:16" x14ac:dyDescent="0.35">
      <c r="A39" t="s">
        <v>54</v>
      </c>
      <c r="B39" t="s">
        <v>162</v>
      </c>
      <c r="C39" t="s">
        <v>30</v>
      </c>
      <c r="D39" s="338">
        <v>1</v>
      </c>
      <c r="E39" s="338">
        <v>1</v>
      </c>
      <c r="F39" s="339">
        <v>0</v>
      </c>
      <c r="G39" s="340">
        <v>0</v>
      </c>
      <c r="H39" s="340">
        <v>0</v>
      </c>
      <c r="I39" s="341" t="s">
        <v>140</v>
      </c>
      <c r="J39" s="342">
        <v>0</v>
      </c>
      <c r="K39" s="342">
        <v>0</v>
      </c>
      <c r="L39" s="343" t="s">
        <v>140</v>
      </c>
      <c r="M39" s="344" t="s">
        <v>140</v>
      </c>
      <c r="N39" s="344" t="s">
        <v>140</v>
      </c>
      <c r="O39" s="345" t="s">
        <v>140</v>
      </c>
      <c r="P39" s="346" t="s">
        <v>140</v>
      </c>
    </row>
    <row r="40" spans="1:16" x14ac:dyDescent="0.35">
      <c r="A40" t="s">
        <v>54</v>
      </c>
      <c r="B40" t="s">
        <v>163</v>
      </c>
      <c r="C40" t="s">
        <v>30</v>
      </c>
      <c r="D40" s="347">
        <v>0.437</v>
      </c>
      <c r="E40" s="347">
        <v>1.4</v>
      </c>
      <c r="F40" s="348">
        <v>-0.68785714285714283</v>
      </c>
      <c r="G40" s="349">
        <v>0</v>
      </c>
      <c r="H40" s="349">
        <v>0</v>
      </c>
      <c r="I40" s="350" t="s">
        <v>140</v>
      </c>
      <c r="J40" s="351">
        <v>0</v>
      </c>
      <c r="K40" s="351">
        <v>0</v>
      </c>
      <c r="L40" s="352" t="s">
        <v>140</v>
      </c>
      <c r="M40" s="353" t="s">
        <v>140</v>
      </c>
      <c r="N40" s="353" t="s">
        <v>140</v>
      </c>
      <c r="O40" s="354" t="s">
        <v>140</v>
      </c>
      <c r="P40" s="346" t="s">
        <v>490</v>
      </c>
    </row>
    <row r="41" spans="1:16" x14ac:dyDescent="0.35">
      <c r="A41" t="s">
        <v>54</v>
      </c>
      <c r="B41" t="s">
        <v>164</v>
      </c>
      <c r="C41" t="s">
        <v>30</v>
      </c>
      <c r="D41" s="338">
        <v>0.02</v>
      </c>
      <c r="E41" s="338">
        <v>1</v>
      </c>
      <c r="F41" s="339">
        <v>-0.98</v>
      </c>
      <c r="G41" s="340">
        <v>0</v>
      </c>
      <c r="H41" s="340">
        <v>0</v>
      </c>
      <c r="I41" s="341" t="s">
        <v>140</v>
      </c>
      <c r="J41" s="342">
        <v>0</v>
      </c>
      <c r="K41" s="342">
        <v>0</v>
      </c>
      <c r="L41" s="343" t="s">
        <v>140</v>
      </c>
      <c r="M41" s="344" t="s">
        <v>140</v>
      </c>
      <c r="N41" s="344" t="s">
        <v>140</v>
      </c>
      <c r="O41" s="345" t="s">
        <v>140</v>
      </c>
      <c r="P41" s="346" t="s">
        <v>490</v>
      </c>
    </row>
    <row r="42" spans="1:16" x14ac:dyDescent="0.35">
      <c r="A42" t="s">
        <v>54</v>
      </c>
      <c r="B42" t="s">
        <v>169</v>
      </c>
      <c r="C42" t="s">
        <v>30</v>
      </c>
      <c r="D42" s="347">
        <v>1263</v>
      </c>
      <c r="E42" s="347">
        <v>1100</v>
      </c>
      <c r="F42" s="348">
        <v>0.14818181818181819</v>
      </c>
      <c r="G42" s="349">
        <v>0</v>
      </c>
      <c r="H42" s="349">
        <v>0</v>
      </c>
      <c r="I42" s="350" t="s">
        <v>140</v>
      </c>
      <c r="J42" s="351">
        <v>0</v>
      </c>
      <c r="K42" s="351">
        <v>0</v>
      </c>
      <c r="L42" s="352" t="s">
        <v>140</v>
      </c>
      <c r="M42" s="353" t="s">
        <v>140</v>
      </c>
      <c r="N42" s="353" t="s">
        <v>140</v>
      </c>
      <c r="O42" s="354" t="s">
        <v>140</v>
      </c>
      <c r="P42" s="346" t="s">
        <v>490</v>
      </c>
    </row>
    <row r="43" spans="1:16" x14ac:dyDescent="0.35">
      <c r="A43" t="s">
        <v>54</v>
      </c>
      <c r="B43" t="s">
        <v>170</v>
      </c>
      <c r="C43" t="s">
        <v>30</v>
      </c>
      <c r="D43" s="338">
        <v>1381</v>
      </c>
      <c r="E43" s="338">
        <v>1200</v>
      </c>
      <c r="F43" s="339">
        <v>0.15083333333333335</v>
      </c>
      <c r="G43" s="340">
        <v>0</v>
      </c>
      <c r="H43" s="340">
        <v>0</v>
      </c>
      <c r="I43" s="341" t="s">
        <v>140</v>
      </c>
      <c r="J43" s="342">
        <v>0</v>
      </c>
      <c r="K43" s="342">
        <v>0</v>
      </c>
      <c r="L43" s="343" t="s">
        <v>140</v>
      </c>
      <c r="M43" s="344" t="s">
        <v>140</v>
      </c>
      <c r="N43" s="344" t="s">
        <v>140</v>
      </c>
      <c r="O43" s="345" t="s">
        <v>140</v>
      </c>
      <c r="P43" s="346" t="s">
        <v>490</v>
      </c>
    </row>
    <row r="44" spans="1:16" x14ac:dyDescent="0.35">
      <c r="A44" t="s">
        <v>54</v>
      </c>
      <c r="B44" t="s">
        <v>171</v>
      </c>
      <c r="C44" t="s">
        <v>30</v>
      </c>
      <c r="D44" s="347">
        <v>2989</v>
      </c>
      <c r="E44" s="347">
        <v>2700</v>
      </c>
      <c r="F44" s="348">
        <v>0.10703703703703704</v>
      </c>
      <c r="G44" s="349">
        <v>0</v>
      </c>
      <c r="H44" s="349">
        <v>0</v>
      </c>
      <c r="I44" s="350" t="s">
        <v>140</v>
      </c>
      <c r="J44" s="351">
        <v>0</v>
      </c>
      <c r="K44" s="351">
        <v>0</v>
      </c>
      <c r="L44" s="352" t="s">
        <v>140</v>
      </c>
      <c r="M44" s="353" t="s">
        <v>140</v>
      </c>
      <c r="N44" s="353" t="s">
        <v>140</v>
      </c>
      <c r="O44" s="354" t="s">
        <v>140</v>
      </c>
      <c r="P44" s="346" t="s">
        <v>490</v>
      </c>
    </row>
    <row r="45" spans="1:16" x14ac:dyDescent="0.35">
      <c r="A45" t="s">
        <v>54</v>
      </c>
      <c r="B45" t="s">
        <v>172</v>
      </c>
      <c r="C45" t="s">
        <v>30</v>
      </c>
      <c r="D45" s="338">
        <v>2597</v>
      </c>
      <c r="E45" s="338">
        <v>2400</v>
      </c>
      <c r="F45" s="339">
        <v>8.2083333333333328E-2</v>
      </c>
      <c r="G45" s="340">
        <v>0</v>
      </c>
      <c r="H45" s="340">
        <v>0</v>
      </c>
      <c r="I45" s="341" t="s">
        <v>140</v>
      </c>
      <c r="J45" s="342">
        <v>0</v>
      </c>
      <c r="K45" s="342">
        <v>0</v>
      </c>
      <c r="L45" s="343" t="s">
        <v>140</v>
      </c>
      <c r="M45" s="344" t="s">
        <v>140</v>
      </c>
      <c r="N45" s="344" t="s">
        <v>140</v>
      </c>
      <c r="O45" s="345" t="s">
        <v>140</v>
      </c>
      <c r="P45" s="346" t="s">
        <v>490</v>
      </c>
    </row>
    <row r="46" spans="1:16" x14ac:dyDescent="0.35">
      <c r="A46" t="s">
        <v>54</v>
      </c>
      <c r="B46" t="s">
        <v>173</v>
      </c>
      <c r="C46" t="s">
        <v>30</v>
      </c>
      <c r="D46" s="347">
        <v>4728</v>
      </c>
      <c r="E46" s="347">
        <v>4200</v>
      </c>
      <c r="F46" s="348">
        <v>0.12571428571428572</v>
      </c>
      <c r="G46" s="349">
        <v>0</v>
      </c>
      <c r="H46" s="349">
        <v>0</v>
      </c>
      <c r="I46" s="350" t="s">
        <v>140</v>
      </c>
      <c r="J46" s="351">
        <v>0</v>
      </c>
      <c r="K46" s="351">
        <v>0</v>
      </c>
      <c r="L46" s="352" t="s">
        <v>140</v>
      </c>
      <c r="M46" s="353" t="s">
        <v>140</v>
      </c>
      <c r="N46" s="353" t="s">
        <v>140</v>
      </c>
      <c r="O46" s="354" t="s">
        <v>140</v>
      </c>
      <c r="P46" s="346" t="s">
        <v>490</v>
      </c>
    </row>
    <row r="47" spans="1:16" x14ac:dyDescent="0.35">
      <c r="A47" t="s">
        <v>54</v>
      </c>
      <c r="B47" t="s">
        <v>174</v>
      </c>
      <c r="C47" t="s">
        <v>30</v>
      </c>
      <c r="D47" s="338">
        <v>2262</v>
      </c>
      <c r="E47" s="338">
        <v>2100</v>
      </c>
      <c r="F47" s="339">
        <v>7.7142857142857138E-2</v>
      </c>
      <c r="G47" s="340">
        <v>0</v>
      </c>
      <c r="H47" s="340">
        <v>0</v>
      </c>
      <c r="I47" s="341" t="s">
        <v>140</v>
      </c>
      <c r="J47" s="342">
        <v>0</v>
      </c>
      <c r="K47" s="342">
        <v>0</v>
      </c>
      <c r="L47" s="343" t="s">
        <v>140</v>
      </c>
      <c r="M47" s="344" t="s">
        <v>140</v>
      </c>
      <c r="N47" s="344" t="s">
        <v>140</v>
      </c>
      <c r="O47" s="345" t="s">
        <v>140</v>
      </c>
      <c r="P47" s="346" t="s">
        <v>490</v>
      </c>
    </row>
    <row r="48" spans="1:16" x14ac:dyDescent="0.35">
      <c r="A48" t="s">
        <v>54</v>
      </c>
      <c r="B48" t="s">
        <v>175</v>
      </c>
      <c r="C48" t="s">
        <v>30</v>
      </c>
      <c r="D48" s="347">
        <v>1908</v>
      </c>
      <c r="E48" s="347">
        <v>1770</v>
      </c>
      <c r="F48" s="348">
        <v>7.796610169491526E-2</v>
      </c>
      <c r="G48" s="349">
        <v>0</v>
      </c>
      <c r="H48" s="349">
        <v>0</v>
      </c>
      <c r="I48" s="350" t="s">
        <v>140</v>
      </c>
      <c r="J48" s="351">
        <v>0</v>
      </c>
      <c r="K48" s="351">
        <v>0</v>
      </c>
      <c r="L48" s="352" t="s">
        <v>140</v>
      </c>
      <c r="M48" s="353" t="s">
        <v>140</v>
      </c>
      <c r="N48" s="353" t="s">
        <v>140</v>
      </c>
      <c r="O48" s="354" t="s">
        <v>140</v>
      </c>
      <c r="P48" s="346" t="s">
        <v>490</v>
      </c>
    </row>
    <row r="49" spans="1:16" x14ac:dyDescent="0.35">
      <c r="A49" t="s">
        <v>54</v>
      </c>
      <c r="B49" t="s">
        <v>176</v>
      </c>
      <c r="C49" t="s">
        <v>30</v>
      </c>
      <c r="D49" s="338">
        <v>1965</v>
      </c>
      <c r="E49" s="338">
        <v>1800</v>
      </c>
      <c r="F49" s="339">
        <v>9.166666666666666E-2</v>
      </c>
      <c r="G49" s="340">
        <v>0</v>
      </c>
      <c r="H49" s="340">
        <v>0</v>
      </c>
      <c r="I49" s="341" t="s">
        <v>140</v>
      </c>
      <c r="J49" s="342">
        <v>0</v>
      </c>
      <c r="K49" s="342">
        <v>0</v>
      </c>
      <c r="L49" s="343" t="s">
        <v>140</v>
      </c>
      <c r="M49" s="344" t="s">
        <v>140</v>
      </c>
      <c r="N49" s="344" t="s">
        <v>140</v>
      </c>
      <c r="O49" s="345" t="s">
        <v>140</v>
      </c>
      <c r="P49" s="346" t="s">
        <v>490</v>
      </c>
    </row>
    <row r="50" spans="1:16" x14ac:dyDescent="0.35">
      <c r="A50" t="s">
        <v>54</v>
      </c>
      <c r="B50" t="s">
        <v>177</v>
      </c>
      <c r="C50" t="s">
        <v>30</v>
      </c>
      <c r="D50" s="347">
        <v>3855</v>
      </c>
      <c r="E50" s="347">
        <v>3400</v>
      </c>
      <c r="F50" s="348">
        <v>0.1338235294117647</v>
      </c>
      <c r="G50" s="349">
        <v>0</v>
      </c>
      <c r="H50" s="349">
        <v>0</v>
      </c>
      <c r="I50" s="350" t="s">
        <v>140</v>
      </c>
      <c r="J50" s="351">
        <v>0</v>
      </c>
      <c r="K50" s="351">
        <v>0</v>
      </c>
      <c r="L50" s="352" t="s">
        <v>140</v>
      </c>
      <c r="M50" s="353" t="s">
        <v>140</v>
      </c>
      <c r="N50" s="353" t="s">
        <v>140</v>
      </c>
      <c r="O50" s="354" t="s">
        <v>140</v>
      </c>
      <c r="P50" s="346" t="s">
        <v>490</v>
      </c>
    </row>
    <row r="51" spans="1:16" x14ac:dyDescent="0.35">
      <c r="A51" t="s">
        <v>54</v>
      </c>
      <c r="B51" t="s">
        <v>178</v>
      </c>
      <c r="C51" t="s">
        <v>30</v>
      </c>
      <c r="D51" s="338">
        <v>1670</v>
      </c>
      <c r="E51" s="338">
        <v>1500</v>
      </c>
      <c r="F51" s="339">
        <v>0.11333333333333333</v>
      </c>
      <c r="G51" s="340">
        <v>0</v>
      </c>
      <c r="H51" s="340">
        <v>0</v>
      </c>
      <c r="I51" s="341" t="s">
        <v>140</v>
      </c>
      <c r="J51" s="342">
        <v>0</v>
      </c>
      <c r="K51" s="342">
        <v>0</v>
      </c>
      <c r="L51" s="343" t="s">
        <v>140</v>
      </c>
      <c r="M51" s="344" t="s">
        <v>140</v>
      </c>
      <c r="N51" s="344" t="s">
        <v>140</v>
      </c>
      <c r="O51" s="345" t="s">
        <v>140</v>
      </c>
      <c r="P51" s="346" t="s">
        <v>490</v>
      </c>
    </row>
    <row r="52" spans="1:16" x14ac:dyDescent="0.35">
      <c r="A52" t="s">
        <v>54</v>
      </c>
      <c r="B52" t="s">
        <v>179</v>
      </c>
      <c r="C52" t="s">
        <v>30</v>
      </c>
      <c r="D52" s="347">
        <v>2256</v>
      </c>
      <c r="E52" s="347">
        <v>2100</v>
      </c>
      <c r="F52" s="348">
        <v>7.4285714285714288E-2</v>
      </c>
      <c r="G52" s="349">
        <v>0</v>
      </c>
      <c r="H52" s="349">
        <v>0</v>
      </c>
      <c r="I52" s="350" t="s">
        <v>140</v>
      </c>
      <c r="J52" s="351">
        <v>0</v>
      </c>
      <c r="K52" s="351">
        <v>0</v>
      </c>
      <c r="L52" s="352" t="s">
        <v>140</v>
      </c>
      <c r="M52" s="353" t="s">
        <v>140</v>
      </c>
      <c r="N52" s="353" t="s">
        <v>140</v>
      </c>
      <c r="O52" s="354" t="s">
        <v>140</v>
      </c>
      <c r="P52" s="346" t="s">
        <v>490</v>
      </c>
    </row>
    <row r="53" spans="1:16" x14ac:dyDescent="0.35">
      <c r="A53" t="s">
        <v>54</v>
      </c>
      <c r="B53" t="s">
        <v>180</v>
      </c>
      <c r="C53" t="s">
        <v>30</v>
      </c>
      <c r="D53" s="338">
        <v>2508</v>
      </c>
      <c r="E53" s="338">
        <v>2300</v>
      </c>
      <c r="F53" s="339">
        <v>9.0434782608695655E-2</v>
      </c>
      <c r="G53" s="340">
        <v>0</v>
      </c>
      <c r="H53" s="340">
        <v>0</v>
      </c>
      <c r="I53" s="341" t="s">
        <v>140</v>
      </c>
      <c r="J53" s="342">
        <v>0</v>
      </c>
      <c r="K53" s="342">
        <v>0</v>
      </c>
      <c r="L53" s="343" t="s">
        <v>140</v>
      </c>
      <c r="M53" s="344" t="s">
        <v>140</v>
      </c>
      <c r="N53" s="344" t="s">
        <v>140</v>
      </c>
      <c r="O53" s="345" t="s">
        <v>140</v>
      </c>
      <c r="P53" s="346" t="s">
        <v>490</v>
      </c>
    </row>
    <row r="54" spans="1:16" x14ac:dyDescent="0.35">
      <c r="A54" t="s">
        <v>54</v>
      </c>
      <c r="B54" t="s">
        <v>181</v>
      </c>
      <c r="C54" t="s">
        <v>30</v>
      </c>
      <c r="D54" s="347">
        <v>3359</v>
      </c>
      <c r="E54" s="347">
        <v>3100</v>
      </c>
      <c r="F54" s="348">
        <v>8.3548387096774188E-2</v>
      </c>
      <c r="G54" s="349">
        <v>0</v>
      </c>
      <c r="H54" s="349">
        <v>0</v>
      </c>
      <c r="I54" s="350" t="s">
        <v>140</v>
      </c>
      <c r="J54" s="351">
        <v>0</v>
      </c>
      <c r="K54" s="351">
        <v>0</v>
      </c>
      <c r="L54" s="352" t="s">
        <v>140</v>
      </c>
      <c r="M54" s="353" t="s">
        <v>140</v>
      </c>
      <c r="N54" s="353" t="s">
        <v>140</v>
      </c>
      <c r="O54" s="354" t="s">
        <v>140</v>
      </c>
      <c r="P54" s="346" t="s">
        <v>490</v>
      </c>
    </row>
    <row r="55" spans="1:16" x14ac:dyDescent="0.35">
      <c r="A55" t="s">
        <v>54</v>
      </c>
      <c r="B55" t="s">
        <v>182</v>
      </c>
      <c r="C55" t="s">
        <v>30</v>
      </c>
      <c r="D55" s="338">
        <v>2917</v>
      </c>
      <c r="E55" s="338">
        <v>2700</v>
      </c>
      <c r="F55" s="339">
        <v>8.037037037037037E-2</v>
      </c>
      <c r="G55" s="340">
        <v>0</v>
      </c>
      <c r="H55" s="340">
        <v>0</v>
      </c>
      <c r="I55" s="341" t="s">
        <v>140</v>
      </c>
      <c r="J55" s="342">
        <v>0</v>
      </c>
      <c r="K55" s="342">
        <v>0</v>
      </c>
      <c r="L55" s="343" t="s">
        <v>140</v>
      </c>
      <c r="M55" s="344" t="s">
        <v>140</v>
      </c>
      <c r="N55" s="344" t="s">
        <v>140</v>
      </c>
      <c r="O55" s="345" t="s">
        <v>140</v>
      </c>
      <c r="P55" s="346" t="s">
        <v>490</v>
      </c>
    </row>
    <row r="56" spans="1:16" x14ac:dyDescent="0.35">
      <c r="A56" t="s">
        <v>54</v>
      </c>
      <c r="B56" t="s">
        <v>183</v>
      </c>
      <c r="C56" t="s">
        <v>30</v>
      </c>
      <c r="D56" s="347">
        <v>2513</v>
      </c>
      <c r="E56" s="347">
        <v>2200</v>
      </c>
      <c r="F56" s="348">
        <v>0.14227272727272727</v>
      </c>
      <c r="G56" s="349">
        <v>0</v>
      </c>
      <c r="H56" s="349">
        <v>0</v>
      </c>
      <c r="I56" s="350" t="s">
        <v>140</v>
      </c>
      <c r="J56" s="351">
        <v>0</v>
      </c>
      <c r="K56" s="351">
        <v>0</v>
      </c>
      <c r="L56" s="352" t="s">
        <v>140</v>
      </c>
      <c r="M56" s="353" t="s">
        <v>140</v>
      </c>
      <c r="N56" s="353" t="s">
        <v>140</v>
      </c>
      <c r="O56" s="354" t="s">
        <v>140</v>
      </c>
      <c r="P56" s="346" t="s">
        <v>490</v>
      </c>
    </row>
    <row r="57" spans="1:16" x14ac:dyDescent="0.35">
      <c r="A57" t="s">
        <v>54</v>
      </c>
      <c r="B57" t="s">
        <v>184</v>
      </c>
      <c r="C57" t="s">
        <v>30</v>
      </c>
      <c r="D57" s="338">
        <v>2608</v>
      </c>
      <c r="E57" s="338">
        <v>2400</v>
      </c>
      <c r="F57" s="339">
        <v>8.666666666666667E-2</v>
      </c>
      <c r="G57" s="340">
        <v>0</v>
      </c>
      <c r="H57" s="340">
        <v>0</v>
      </c>
      <c r="I57" s="341" t="s">
        <v>140</v>
      </c>
      <c r="J57" s="342">
        <v>0</v>
      </c>
      <c r="K57" s="342">
        <v>0</v>
      </c>
      <c r="L57" s="343" t="s">
        <v>140</v>
      </c>
      <c r="M57" s="344" t="s">
        <v>140</v>
      </c>
      <c r="N57" s="344" t="s">
        <v>140</v>
      </c>
      <c r="O57" s="345" t="s">
        <v>140</v>
      </c>
      <c r="P57" s="346" t="s">
        <v>490</v>
      </c>
    </row>
    <row r="58" spans="1:16" x14ac:dyDescent="0.35">
      <c r="A58" t="s">
        <v>54</v>
      </c>
      <c r="B58" t="s">
        <v>185</v>
      </c>
      <c r="C58" t="s">
        <v>30</v>
      </c>
      <c r="D58" s="347">
        <v>2397</v>
      </c>
      <c r="E58" s="347">
        <v>2200</v>
      </c>
      <c r="F58" s="348">
        <v>8.9545454545454539E-2</v>
      </c>
      <c r="G58" s="349">
        <v>0</v>
      </c>
      <c r="H58" s="349">
        <v>0</v>
      </c>
      <c r="I58" s="350" t="s">
        <v>140</v>
      </c>
      <c r="J58" s="351">
        <v>0</v>
      </c>
      <c r="K58" s="351">
        <v>0</v>
      </c>
      <c r="L58" s="352" t="s">
        <v>140</v>
      </c>
      <c r="M58" s="353" t="s">
        <v>140</v>
      </c>
      <c r="N58" s="353" t="s">
        <v>140</v>
      </c>
      <c r="O58" s="354" t="s">
        <v>140</v>
      </c>
      <c r="P58" s="346" t="s">
        <v>490</v>
      </c>
    </row>
    <row r="59" spans="1:16" x14ac:dyDescent="0.35">
      <c r="A59" t="s">
        <v>54</v>
      </c>
      <c r="B59" t="s">
        <v>186</v>
      </c>
      <c r="C59" t="s">
        <v>30</v>
      </c>
      <c r="D59" s="338">
        <v>4061</v>
      </c>
      <c r="E59" s="338">
        <v>3700</v>
      </c>
      <c r="F59" s="339">
        <v>9.756756756756757E-2</v>
      </c>
      <c r="G59" s="340">
        <v>0</v>
      </c>
      <c r="H59" s="340">
        <v>0</v>
      </c>
      <c r="I59" s="341" t="s">
        <v>140</v>
      </c>
      <c r="J59" s="342">
        <v>0</v>
      </c>
      <c r="K59" s="342">
        <v>0</v>
      </c>
      <c r="L59" s="343" t="s">
        <v>140</v>
      </c>
      <c r="M59" s="344" t="s">
        <v>140</v>
      </c>
      <c r="N59" s="344" t="s">
        <v>140</v>
      </c>
      <c r="O59" s="345" t="s">
        <v>140</v>
      </c>
      <c r="P59" s="346" t="s">
        <v>490</v>
      </c>
    </row>
    <row r="60" spans="1:16" x14ac:dyDescent="0.35">
      <c r="A60" t="s">
        <v>54</v>
      </c>
      <c r="B60" t="s">
        <v>187</v>
      </c>
      <c r="C60" t="s">
        <v>30</v>
      </c>
      <c r="D60" s="347">
        <v>3654</v>
      </c>
      <c r="E60" s="347">
        <v>3300</v>
      </c>
      <c r="F60" s="348">
        <v>0.10727272727272727</v>
      </c>
      <c r="G60" s="349">
        <v>0</v>
      </c>
      <c r="H60" s="349">
        <v>0</v>
      </c>
      <c r="I60" s="350" t="s">
        <v>140</v>
      </c>
      <c r="J60" s="351">
        <v>0</v>
      </c>
      <c r="K60" s="351">
        <v>0</v>
      </c>
      <c r="L60" s="352" t="s">
        <v>140</v>
      </c>
      <c r="M60" s="353" t="s">
        <v>140</v>
      </c>
      <c r="N60" s="353" t="s">
        <v>140</v>
      </c>
      <c r="O60" s="354" t="s">
        <v>140</v>
      </c>
      <c r="P60" s="346" t="s">
        <v>490</v>
      </c>
    </row>
    <row r="61" spans="1:16" x14ac:dyDescent="0.35">
      <c r="A61" t="s">
        <v>54</v>
      </c>
      <c r="B61" t="s">
        <v>188</v>
      </c>
      <c r="C61" t="s">
        <v>30</v>
      </c>
      <c r="D61" s="338">
        <v>1930</v>
      </c>
      <c r="E61" s="338">
        <v>1700</v>
      </c>
      <c r="F61" s="339">
        <v>0.13529411764705881</v>
      </c>
      <c r="G61" s="340">
        <v>0</v>
      </c>
      <c r="H61" s="340">
        <v>0</v>
      </c>
      <c r="I61" s="341" t="s">
        <v>140</v>
      </c>
      <c r="J61" s="342">
        <v>0</v>
      </c>
      <c r="K61" s="342">
        <v>0</v>
      </c>
      <c r="L61" s="343" t="s">
        <v>140</v>
      </c>
      <c r="M61" s="344" t="s">
        <v>140</v>
      </c>
      <c r="N61" s="344" t="s">
        <v>140</v>
      </c>
      <c r="O61" s="345" t="s">
        <v>140</v>
      </c>
      <c r="P61" s="346" t="s">
        <v>490</v>
      </c>
    </row>
    <row r="62" spans="1:16" x14ac:dyDescent="0.35">
      <c r="A62" t="s">
        <v>54</v>
      </c>
      <c r="B62" t="s">
        <v>189</v>
      </c>
      <c r="C62" t="s">
        <v>30</v>
      </c>
      <c r="D62" s="347">
        <v>2425</v>
      </c>
      <c r="E62" s="347">
        <v>2200</v>
      </c>
      <c r="F62" s="348">
        <v>0.10227272727272728</v>
      </c>
      <c r="G62" s="349">
        <v>0</v>
      </c>
      <c r="H62" s="349">
        <v>0</v>
      </c>
      <c r="I62" s="350" t="s">
        <v>140</v>
      </c>
      <c r="J62" s="351">
        <v>0</v>
      </c>
      <c r="K62" s="351">
        <v>0</v>
      </c>
      <c r="L62" s="352" t="s">
        <v>140</v>
      </c>
      <c r="M62" s="353" t="s">
        <v>140</v>
      </c>
      <c r="N62" s="353" t="s">
        <v>140</v>
      </c>
      <c r="O62" s="354" t="s">
        <v>140</v>
      </c>
      <c r="P62" s="346" t="s">
        <v>490</v>
      </c>
    </row>
    <row r="63" spans="1:16" x14ac:dyDescent="0.35">
      <c r="A63" t="s">
        <v>54</v>
      </c>
      <c r="B63" t="s">
        <v>190</v>
      </c>
      <c r="C63" t="s">
        <v>30</v>
      </c>
      <c r="D63" s="338">
        <v>2042</v>
      </c>
      <c r="E63" s="338">
        <v>1900</v>
      </c>
      <c r="F63" s="339">
        <v>7.4736842105263157E-2</v>
      </c>
      <c r="G63" s="340">
        <v>0</v>
      </c>
      <c r="H63" s="340">
        <v>0</v>
      </c>
      <c r="I63" s="341" t="s">
        <v>140</v>
      </c>
      <c r="J63" s="342">
        <v>0</v>
      </c>
      <c r="K63" s="342">
        <v>0</v>
      </c>
      <c r="L63" s="343" t="s">
        <v>140</v>
      </c>
      <c r="M63" s="344" t="s">
        <v>140</v>
      </c>
      <c r="N63" s="344" t="s">
        <v>140</v>
      </c>
      <c r="O63" s="345" t="s">
        <v>140</v>
      </c>
      <c r="P63" s="346" t="s">
        <v>490</v>
      </c>
    </row>
    <row r="64" spans="1:16" x14ac:dyDescent="0.35">
      <c r="A64" t="s">
        <v>54</v>
      </c>
      <c r="B64" t="s">
        <v>191</v>
      </c>
      <c r="C64" t="s">
        <v>30</v>
      </c>
      <c r="D64" s="347">
        <v>5871</v>
      </c>
      <c r="E64" s="347">
        <v>4600</v>
      </c>
      <c r="F64" s="348">
        <v>0.27630434782608698</v>
      </c>
      <c r="G64" s="349">
        <v>0</v>
      </c>
      <c r="H64" s="349">
        <v>0</v>
      </c>
      <c r="I64" s="350" t="s">
        <v>140</v>
      </c>
      <c r="J64" s="351">
        <v>0</v>
      </c>
      <c r="K64" s="351">
        <v>0</v>
      </c>
      <c r="L64" s="352" t="s">
        <v>140</v>
      </c>
      <c r="M64" s="353" t="s">
        <v>140</v>
      </c>
      <c r="N64" s="353" t="s">
        <v>140</v>
      </c>
      <c r="O64" s="354" t="s">
        <v>140</v>
      </c>
      <c r="P64" s="346" t="s">
        <v>490</v>
      </c>
    </row>
    <row r="65" spans="1:16" x14ac:dyDescent="0.35">
      <c r="A65" t="s">
        <v>54</v>
      </c>
      <c r="B65" t="s">
        <v>192</v>
      </c>
      <c r="C65" t="s">
        <v>30</v>
      </c>
      <c r="D65" s="338">
        <v>4775</v>
      </c>
      <c r="E65" s="338">
        <v>4300</v>
      </c>
      <c r="F65" s="339">
        <v>0.11046511627906977</v>
      </c>
      <c r="G65" s="340">
        <v>0</v>
      </c>
      <c r="H65" s="340">
        <v>0</v>
      </c>
      <c r="I65" s="341" t="s">
        <v>140</v>
      </c>
      <c r="J65" s="342">
        <v>0</v>
      </c>
      <c r="K65" s="342">
        <v>0</v>
      </c>
      <c r="L65" s="343" t="s">
        <v>140</v>
      </c>
      <c r="M65" s="344" t="s">
        <v>140</v>
      </c>
      <c r="N65" s="344" t="s">
        <v>140</v>
      </c>
      <c r="O65" s="345" t="s">
        <v>140</v>
      </c>
      <c r="P65" s="346" t="s">
        <v>490</v>
      </c>
    </row>
    <row r="66" spans="1:16" x14ac:dyDescent="0.35">
      <c r="A66" t="s">
        <v>54</v>
      </c>
      <c r="B66" t="s">
        <v>193</v>
      </c>
      <c r="C66" t="s">
        <v>30</v>
      </c>
      <c r="D66" s="347">
        <v>13412</v>
      </c>
      <c r="E66" s="347">
        <v>12000</v>
      </c>
      <c r="F66" s="348">
        <v>0.11766666666666667</v>
      </c>
      <c r="G66" s="349">
        <v>0</v>
      </c>
      <c r="H66" s="349">
        <v>0</v>
      </c>
      <c r="I66" s="350" t="s">
        <v>140</v>
      </c>
      <c r="J66" s="351">
        <v>0</v>
      </c>
      <c r="K66" s="351">
        <v>0</v>
      </c>
      <c r="L66" s="352" t="s">
        <v>140</v>
      </c>
      <c r="M66" s="353" t="s">
        <v>140</v>
      </c>
      <c r="N66" s="353" t="s">
        <v>140</v>
      </c>
      <c r="O66" s="354" t="s">
        <v>140</v>
      </c>
      <c r="P66" s="346" t="s">
        <v>490</v>
      </c>
    </row>
    <row r="67" spans="1:16" x14ac:dyDescent="0.35">
      <c r="A67" t="s">
        <v>54</v>
      </c>
      <c r="B67" t="s">
        <v>165</v>
      </c>
      <c r="C67" t="s">
        <v>30</v>
      </c>
      <c r="D67" s="338">
        <v>1</v>
      </c>
      <c r="E67" s="338">
        <v>1</v>
      </c>
      <c r="F67" s="339">
        <v>0</v>
      </c>
      <c r="G67" s="340">
        <v>0</v>
      </c>
      <c r="H67" s="340">
        <v>0</v>
      </c>
      <c r="I67" s="341" t="s">
        <v>140</v>
      </c>
      <c r="J67" s="342">
        <v>0</v>
      </c>
      <c r="K67" s="342">
        <v>0</v>
      </c>
      <c r="L67" s="343" t="s">
        <v>140</v>
      </c>
      <c r="M67" s="344" t="s">
        <v>140</v>
      </c>
      <c r="N67" s="344" t="s">
        <v>140</v>
      </c>
      <c r="O67" s="345" t="s">
        <v>140</v>
      </c>
      <c r="P67" s="346" t="s">
        <v>140</v>
      </c>
    </row>
    <row r="68" spans="1:16" x14ac:dyDescent="0.35">
      <c r="A68" t="s">
        <v>54</v>
      </c>
      <c r="B68" t="s">
        <v>166</v>
      </c>
      <c r="C68" t="s">
        <v>30</v>
      </c>
      <c r="D68" s="347">
        <v>0</v>
      </c>
      <c r="E68" s="347">
        <v>0</v>
      </c>
      <c r="F68" s="348" t="s">
        <v>140</v>
      </c>
      <c r="G68" s="349">
        <v>0</v>
      </c>
      <c r="H68" s="349">
        <v>0</v>
      </c>
      <c r="I68" s="350" t="s">
        <v>140</v>
      </c>
      <c r="J68" s="351">
        <v>0</v>
      </c>
      <c r="K68" s="351">
        <v>0</v>
      </c>
      <c r="L68" s="352" t="s">
        <v>140</v>
      </c>
      <c r="M68" s="353" t="s">
        <v>140</v>
      </c>
      <c r="N68" s="353" t="s">
        <v>140</v>
      </c>
      <c r="O68" s="354" t="s">
        <v>140</v>
      </c>
      <c r="P68" s="346" t="s">
        <v>140</v>
      </c>
    </row>
    <row r="69" spans="1:16" x14ac:dyDescent="0.35">
      <c r="A69" t="s">
        <v>54</v>
      </c>
      <c r="B69" t="s">
        <v>167</v>
      </c>
      <c r="C69" t="s">
        <v>30</v>
      </c>
      <c r="D69" s="338">
        <v>1</v>
      </c>
      <c r="E69" s="338">
        <v>1</v>
      </c>
      <c r="F69" s="339">
        <v>0</v>
      </c>
      <c r="G69" s="340">
        <v>0</v>
      </c>
      <c r="H69" s="340">
        <v>0</v>
      </c>
      <c r="I69" s="341" t="s">
        <v>140</v>
      </c>
      <c r="J69" s="342">
        <v>0</v>
      </c>
      <c r="K69" s="342">
        <v>0</v>
      </c>
      <c r="L69" s="343" t="s">
        <v>140</v>
      </c>
      <c r="M69" s="344" t="s">
        <v>140</v>
      </c>
      <c r="N69" s="344" t="s">
        <v>140</v>
      </c>
      <c r="O69" s="345" t="s">
        <v>140</v>
      </c>
      <c r="P69" s="346" t="s">
        <v>140</v>
      </c>
    </row>
    <row r="70" spans="1:16" x14ac:dyDescent="0.35">
      <c r="A70" t="s">
        <v>15</v>
      </c>
      <c r="B70" t="s">
        <v>31</v>
      </c>
      <c r="C70" t="s">
        <v>29</v>
      </c>
      <c r="D70" s="347">
        <v>2.2101760000000001</v>
      </c>
      <c r="E70" s="347">
        <v>2.2204999999999999</v>
      </c>
      <c r="F70" s="348">
        <v>-4.6494032875477494E-3</v>
      </c>
      <c r="G70" s="349">
        <v>0</v>
      </c>
      <c r="H70" s="349">
        <v>0</v>
      </c>
      <c r="I70" s="350" t="s">
        <v>140</v>
      </c>
      <c r="J70" s="351">
        <v>0.73522279999999995</v>
      </c>
      <c r="K70" s="351">
        <v>0.45279999999999998</v>
      </c>
      <c r="L70" s="352">
        <v>0.62372526501766778</v>
      </c>
      <c r="M70" s="353" t="s">
        <v>140</v>
      </c>
      <c r="N70" s="353" t="s">
        <v>140</v>
      </c>
      <c r="O70" s="354" t="s">
        <v>140</v>
      </c>
      <c r="P70" s="346" t="s">
        <v>140</v>
      </c>
    </row>
    <row r="71" spans="1:16" x14ac:dyDescent="0.35">
      <c r="A71" t="s">
        <v>15</v>
      </c>
      <c r="B71" t="s">
        <v>32</v>
      </c>
      <c r="C71" t="s">
        <v>29</v>
      </c>
      <c r="D71" s="338">
        <v>2.4875411999999999</v>
      </c>
      <c r="E71" s="338">
        <v>2.4489000000000001</v>
      </c>
      <c r="F71" s="339">
        <v>1.5779002817591498E-2</v>
      </c>
      <c r="G71" s="340">
        <v>0</v>
      </c>
      <c r="H71" s="340">
        <v>0</v>
      </c>
      <c r="I71" s="341" t="s">
        <v>140</v>
      </c>
      <c r="J71" s="342">
        <v>0.84432660000000004</v>
      </c>
      <c r="K71" s="342">
        <v>0.59209999999999996</v>
      </c>
      <c r="L71" s="343">
        <v>0.4259864887687892</v>
      </c>
      <c r="M71" s="344" t="s">
        <v>140</v>
      </c>
      <c r="N71" s="344" t="s">
        <v>140</v>
      </c>
      <c r="O71" s="345" t="s">
        <v>140</v>
      </c>
      <c r="P71" s="346" t="s">
        <v>140</v>
      </c>
    </row>
    <row r="72" spans="1:16" x14ac:dyDescent="0.35">
      <c r="A72" t="s">
        <v>15</v>
      </c>
      <c r="B72" t="s">
        <v>33</v>
      </c>
      <c r="C72" t="s">
        <v>29</v>
      </c>
      <c r="D72" s="347">
        <v>1.8624645</v>
      </c>
      <c r="E72" s="347">
        <v>1.8657999999999999</v>
      </c>
      <c r="F72" s="348">
        <v>-1.78770500589556E-3</v>
      </c>
      <c r="G72" s="349">
        <v>0</v>
      </c>
      <c r="H72" s="349">
        <v>0</v>
      </c>
      <c r="I72" s="350" t="s">
        <v>140</v>
      </c>
      <c r="J72" s="351">
        <v>0.39212609999999998</v>
      </c>
      <c r="K72" s="351">
        <v>0.3921</v>
      </c>
      <c r="L72" s="352">
        <v>6.656465187445388E-5</v>
      </c>
      <c r="M72" s="353" t="s">
        <v>140</v>
      </c>
      <c r="N72" s="353" t="s">
        <v>140</v>
      </c>
      <c r="O72" s="354" t="s">
        <v>140</v>
      </c>
      <c r="P72" s="346" t="s">
        <v>140</v>
      </c>
    </row>
    <row r="73" spans="1:16" x14ac:dyDescent="0.35">
      <c r="A73" t="s">
        <v>15</v>
      </c>
      <c r="B73" t="s">
        <v>34</v>
      </c>
      <c r="C73" t="s">
        <v>30</v>
      </c>
      <c r="D73" s="338">
        <v>1.2000409999999999</v>
      </c>
      <c r="E73" s="338">
        <v>1.8066</v>
      </c>
      <c r="F73" s="339">
        <v>-0.3357461529945755</v>
      </c>
      <c r="G73" s="340">
        <v>0</v>
      </c>
      <c r="H73" s="340">
        <v>0</v>
      </c>
      <c r="I73" s="341" t="s">
        <v>140</v>
      </c>
      <c r="J73" s="342">
        <v>0.93055270000000001</v>
      </c>
      <c r="K73" s="342">
        <v>0.77559999999999996</v>
      </c>
      <c r="L73" s="343">
        <v>0.19978429602888095</v>
      </c>
      <c r="M73" s="344" t="s">
        <v>140</v>
      </c>
      <c r="N73" s="344" t="s">
        <v>140</v>
      </c>
      <c r="O73" s="345" t="s">
        <v>140</v>
      </c>
      <c r="P73" s="346" t="s">
        <v>140</v>
      </c>
    </row>
    <row r="74" spans="1:16" x14ac:dyDescent="0.35">
      <c r="A74" t="s">
        <v>15</v>
      </c>
      <c r="B74" t="s">
        <v>95</v>
      </c>
      <c r="C74" t="s">
        <v>28</v>
      </c>
      <c r="D74" s="347">
        <v>0</v>
      </c>
      <c r="E74" s="347">
        <v>0</v>
      </c>
      <c r="F74" s="348" t="s">
        <v>140</v>
      </c>
      <c r="G74" s="349">
        <v>0.377</v>
      </c>
      <c r="H74" s="349">
        <v>0.35000000000000003</v>
      </c>
      <c r="I74" s="350">
        <v>7.7142857142857041E-2</v>
      </c>
      <c r="J74" s="351">
        <v>6.8519999999999998E-2</v>
      </c>
      <c r="K74" s="351">
        <v>4.0091000000000002E-2</v>
      </c>
      <c r="L74" s="352">
        <v>0.70911177072160825</v>
      </c>
      <c r="M74" s="353" t="s">
        <v>140</v>
      </c>
      <c r="N74" s="353" t="s">
        <v>140</v>
      </c>
      <c r="O74" s="354" t="s">
        <v>140</v>
      </c>
      <c r="P74" s="346" t="s">
        <v>140</v>
      </c>
    </row>
    <row r="75" spans="1:16" x14ac:dyDescent="0.35">
      <c r="A75" t="s">
        <v>21</v>
      </c>
      <c r="B75" t="s">
        <v>38</v>
      </c>
      <c r="C75" t="s">
        <v>39</v>
      </c>
      <c r="D75" s="338">
        <v>0</v>
      </c>
      <c r="E75" s="338">
        <v>0</v>
      </c>
      <c r="F75" s="339" t="s">
        <v>140</v>
      </c>
      <c r="G75" s="340">
        <v>0</v>
      </c>
      <c r="H75" s="340">
        <v>0</v>
      </c>
      <c r="I75" s="341" t="s">
        <v>140</v>
      </c>
      <c r="J75" s="342">
        <v>0.16600000000000001</v>
      </c>
      <c r="K75" s="342">
        <v>0.16200000000000001</v>
      </c>
      <c r="L75" s="343">
        <v>2.4691358024691377E-2</v>
      </c>
      <c r="M75" s="344" t="s">
        <v>140</v>
      </c>
      <c r="N75" s="344" t="s">
        <v>140</v>
      </c>
      <c r="O75" s="345" t="s">
        <v>140</v>
      </c>
      <c r="P75" s="346" t="s">
        <v>140</v>
      </c>
    </row>
    <row r="76" spans="1:16" x14ac:dyDescent="0.35">
      <c r="A76" t="s">
        <v>21</v>
      </c>
      <c r="B76" t="s">
        <v>36</v>
      </c>
      <c r="C76" t="s">
        <v>39</v>
      </c>
      <c r="D76" s="347">
        <v>0</v>
      </c>
      <c r="E76" s="347">
        <v>0</v>
      </c>
      <c r="F76" s="348" t="s">
        <v>140</v>
      </c>
      <c r="G76" s="349">
        <v>0</v>
      </c>
      <c r="H76" s="349">
        <v>0</v>
      </c>
      <c r="I76" s="350" t="s">
        <v>140</v>
      </c>
      <c r="J76" s="351">
        <v>7.1333300000000002E-2</v>
      </c>
      <c r="K76" s="351">
        <v>3.6999999999999998E-2</v>
      </c>
      <c r="L76" s="352">
        <v>0.92792702702702723</v>
      </c>
      <c r="M76" s="353" t="s">
        <v>140</v>
      </c>
      <c r="N76" s="353" t="s">
        <v>140</v>
      </c>
      <c r="O76" s="354" t="s">
        <v>140</v>
      </c>
      <c r="P76" s="346" t="s">
        <v>487</v>
      </c>
    </row>
    <row r="77" spans="1:16" x14ac:dyDescent="0.35">
      <c r="A77" t="s">
        <v>21</v>
      </c>
      <c r="B77" t="s">
        <v>35</v>
      </c>
      <c r="C77" t="s">
        <v>39</v>
      </c>
      <c r="D77" s="338">
        <v>0</v>
      </c>
      <c r="E77" s="338">
        <v>0</v>
      </c>
      <c r="F77" s="339" t="s">
        <v>140</v>
      </c>
      <c r="G77" s="340">
        <v>0</v>
      </c>
      <c r="H77" s="340">
        <v>0</v>
      </c>
      <c r="I77" s="341" t="s">
        <v>140</v>
      </c>
      <c r="J77" s="342">
        <v>3.1E-2</v>
      </c>
      <c r="K77" s="342">
        <v>9.3666700000000006E-2</v>
      </c>
      <c r="L77" s="343">
        <v>-0.66903926368709477</v>
      </c>
      <c r="M77" s="344" t="s">
        <v>140</v>
      </c>
      <c r="N77" s="344" t="s">
        <v>140</v>
      </c>
      <c r="O77" s="345" t="s">
        <v>140</v>
      </c>
      <c r="P77" s="346" t="s">
        <v>487</v>
      </c>
    </row>
    <row r="78" spans="1:16" x14ac:dyDescent="0.35">
      <c r="A78" t="s">
        <v>21</v>
      </c>
      <c r="B78" t="s">
        <v>37</v>
      </c>
      <c r="C78" t="s">
        <v>39</v>
      </c>
      <c r="D78" s="347">
        <v>0</v>
      </c>
      <c r="E78" s="347">
        <v>0</v>
      </c>
      <c r="F78" s="348" t="s">
        <v>140</v>
      </c>
      <c r="G78" s="349">
        <v>0</v>
      </c>
      <c r="H78" s="349">
        <v>0</v>
      </c>
      <c r="I78" s="350" t="s">
        <v>140</v>
      </c>
      <c r="J78" s="351">
        <v>3.1E-2</v>
      </c>
      <c r="K78" s="351">
        <v>4.5999999999999999E-2</v>
      </c>
      <c r="L78" s="352">
        <v>-0.32608695652173914</v>
      </c>
      <c r="M78" s="353" t="s">
        <v>140</v>
      </c>
      <c r="N78" s="353" t="s">
        <v>140</v>
      </c>
      <c r="O78" s="354" t="s">
        <v>140</v>
      </c>
      <c r="P78" s="346" t="s">
        <v>140</v>
      </c>
    </row>
    <row r="79" spans="1:16" x14ac:dyDescent="0.35">
      <c r="A79" t="s">
        <v>21</v>
      </c>
      <c r="B79" t="s">
        <v>313</v>
      </c>
      <c r="C79" t="s">
        <v>39</v>
      </c>
      <c r="D79" s="338">
        <v>0</v>
      </c>
      <c r="E79" s="338">
        <v>0</v>
      </c>
      <c r="F79" s="339" t="s">
        <v>140</v>
      </c>
      <c r="G79" s="340">
        <v>0</v>
      </c>
      <c r="H79" s="340">
        <v>0</v>
      </c>
      <c r="I79" s="341" t="s">
        <v>140</v>
      </c>
      <c r="J79" s="342">
        <v>0.16098680000000001</v>
      </c>
      <c r="K79" s="342">
        <v>0.16098680000000001</v>
      </c>
      <c r="L79" s="343">
        <v>0</v>
      </c>
      <c r="M79" s="344" t="s">
        <v>140</v>
      </c>
      <c r="N79" s="344" t="s">
        <v>140</v>
      </c>
      <c r="O79" s="345" t="s">
        <v>140</v>
      </c>
      <c r="P79" s="346" t="s">
        <v>140</v>
      </c>
    </row>
    <row r="80" spans="1:16" x14ac:dyDescent="0.35">
      <c r="A80" t="s">
        <v>21</v>
      </c>
      <c r="B80" t="s">
        <v>332</v>
      </c>
      <c r="C80" t="s">
        <v>39</v>
      </c>
      <c r="D80" s="347">
        <v>0</v>
      </c>
      <c r="E80" s="347">
        <v>0</v>
      </c>
      <c r="F80" s="348" t="s">
        <v>140</v>
      </c>
      <c r="G80" s="349">
        <v>0</v>
      </c>
      <c r="H80" s="349">
        <v>0</v>
      </c>
      <c r="I80" s="350" t="s">
        <v>140</v>
      </c>
      <c r="J80" s="351">
        <v>0.1097371</v>
      </c>
      <c r="K80" s="351">
        <v>0.1097371</v>
      </c>
      <c r="L80" s="352">
        <v>0</v>
      </c>
      <c r="M80" s="353" t="s">
        <v>140</v>
      </c>
      <c r="N80" s="353" t="s">
        <v>140</v>
      </c>
      <c r="O80" s="354" t="s">
        <v>140</v>
      </c>
      <c r="P80" s="346" t="s">
        <v>140</v>
      </c>
    </row>
    <row r="81" spans="1:16" x14ac:dyDescent="0.35">
      <c r="A81" t="s">
        <v>21</v>
      </c>
      <c r="B81" t="s">
        <v>333</v>
      </c>
      <c r="C81" t="s">
        <v>39</v>
      </c>
      <c r="D81" s="338">
        <v>0</v>
      </c>
      <c r="E81" s="338">
        <v>0</v>
      </c>
      <c r="F81" s="339" t="s">
        <v>140</v>
      </c>
      <c r="G81" s="340">
        <v>0</v>
      </c>
      <c r="H81" s="340">
        <v>0</v>
      </c>
      <c r="I81" s="341" t="s">
        <v>140</v>
      </c>
      <c r="J81" s="342">
        <v>0.1542306</v>
      </c>
      <c r="K81" s="342">
        <v>0.1542306</v>
      </c>
      <c r="L81" s="343">
        <v>0</v>
      </c>
      <c r="M81" s="344" t="s">
        <v>140</v>
      </c>
      <c r="N81" s="344" t="s">
        <v>140</v>
      </c>
      <c r="O81" s="345" t="s">
        <v>140</v>
      </c>
      <c r="P81" s="346" t="s">
        <v>140</v>
      </c>
    </row>
    <row r="82" spans="1:16" x14ac:dyDescent="0.35">
      <c r="A82" t="s">
        <v>21</v>
      </c>
      <c r="B82" t="s">
        <v>122</v>
      </c>
      <c r="C82" t="s">
        <v>195</v>
      </c>
      <c r="D82" s="347">
        <v>0</v>
      </c>
      <c r="E82" s="347">
        <v>0</v>
      </c>
      <c r="F82" s="348" t="s">
        <v>140</v>
      </c>
      <c r="G82" s="349">
        <v>0</v>
      </c>
      <c r="H82" s="349">
        <v>0</v>
      </c>
      <c r="I82" s="350" t="s">
        <v>140</v>
      </c>
      <c r="J82" s="351">
        <v>11.3095482</v>
      </c>
      <c r="K82" s="351">
        <v>15</v>
      </c>
      <c r="L82" s="352">
        <v>-0.24603011999999999</v>
      </c>
      <c r="M82" s="353" t="s">
        <v>140</v>
      </c>
      <c r="N82" s="353" t="s">
        <v>140</v>
      </c>
      <c r="O82" s="354" t="s">
        <v>140</v>
      </c>
      <c r="P82" s="346" t="s">
        <v>140</v>
      </c>
    </row>
    <row r="83" spans="1:16" x14ac:dyDescent="0.35">
      <c r="A83" t="s">
        <v>21</v>
      </c>
      <c r="B83" t="s">
        <v>123</v>
      </c>
      <c r="C83" t="s">
        <v>195</v>
      </c>
      <c r="D83" s="338">
        <v>0</v>
      </c>
      <c r="E83" s="338">
        <v>0</v>
      </c>
      <c r="F83" s="339" t="s">
        <v>140</v>
      </c>
      <c r="G83" s="340">
        <v>0</v>
      </c>
      <c r="H83" s="340">
        <v>0</v>
      </c>
      <c r="I83" s="341" t="s">
        <v>140</v>
      </c>
      <c r="J83" s="342">
        <v>19.469322099999999</v>
      </c>
      <c r="K83" s="342">
        <v>24.64</v>
      </c>
      <c r="L83" s="343">
        <v>-0.20984894074675328</v>
      </c>
      <c r="M83" s="344" t="s">
        <v>140</v>
      </c>
      <c r="N83" s="344" t="s">
        <v>140</v>
      </c>
      <c r="O83" s="345" t="s">
        <v>140</v>
      </c>
      <c r="P83" s="346" t="s">
        <v>140</v>
      </c>
    </row>
    <row r="84" spans="1:16" x14ac:dyDescent="0.35">
      <c r="A84" t="s">
        <v>21</v>
      </c>
      <c r="B84" t="s">
        <v>145</v>
      </c>
      <c r="C84" t="s">
        <v>69</v>
      </c>
      <c r="D84" s="347">
        <v>0</v>
      </c>
      <c r="E84" s="347">
        <v>0</v>
      </c>
      <c r="F84" s="348" t="s">
        <v>140</v>
      </c>
      <c r="G84" s="349">
        <v>0</v>
      </c>
      <c r="H84" s="349">
        <v>0</v>
      </c>
      <c r="I84" s="350" t="s">
        <v>140</v>
      </c>
      <c r="J84" s="351">
        <v>1</v>
      </c>
      <c r="K84" s="351">
        <v>1</v>
      </c>
      <c r="L84" s="352">
        <v>0</v>
      </c>
      <c r="M84" s="353" t="s">
        <v>140</v>
      </c>
      <c r="N84" s="353" t="s">
        <v>140</v>
      </c>
      <c r="O84" s="354" t="s">
        <v>140</v>
      </c>
      <c r="P84" s="346" t="s">
        <v>140</v>
      </c>
    </row>
    <row r="85" spans="1:16" x14ac:dyDescent="0.35">
      <c r="A85" t="s">
        <v>76</v>
      </c>
      <c r="B85" t="s">
        <v>94</v>
      </c>
      <c r="C85" t="s">
        <v>39</v>
      </c>
      <c r="D85" s="338">
        <v>0</v>
      </c>
      <c r="E85" s="338">
        <v>0</v>
      </c>
      <c r="F85" s="339" t="s">
        <v>140</v>
      </c>
      <c r="G85" s="340">
        <v>0</v>
      </c>
      <c r="H85" s="340">
        <v>0</v>
      </c>
      <c r="I85" s="341" t="s">
        <v>140</v>
      </c>
      <c r="J85" s="342">
        <v>0</v>
      </c>
      <c r="K85" s="342">
        <v>0</v>
      </c>
      <c r="L85" s="343" t="s">
        <v>140</v>
      </c>
      <c r="M85" s="344" t="s">
        <v>140</v>
      </c>
      <c r="N85" s="344" t="s">
        <v>140</v>
      </c>
      <c r="O85" s="345" t="s">
        <v>140</v>
      </c>
      <c r="P85" s="346" t="s">
        <v>140</v>
      </c>
    </row>
    <row r="86" spans="1:16" x14ac:dyDescent="0.35">
      <c r="A86" t="s">
        <v>76</v>
      </c>
      <c r="B86" t="s">
        <v>36</v>
      </c>
      <c r="C86" t="s">
        <v>39</v>
      </c>
      <c r="D86" s="347">
        <v>0</v>
      </c>
      <c r="E86" s="347">
        <v>0</v>
      </c>
      <c r="F86" s="348" t="s">
        <v>140</v>
      </c>
      <c r="G86" s="349">
        <v>0</v>
      </c>
      <c r="H86" s="349">
        <v>0</v>
      </c>
      <c r="I86" s="350" t="s">
        <v>140</v>
      </c>
      <c r="J86" s="351">
        <v>7.1333300000000002E-2</v>
      </c>
      <c r="K86" s="351">
        <v>9.3666700000000006E-2</v>
      </c>
      <c r="L86" s="352">
        <v>-0.23843479059260123</v>
      </c>
      <c r="M86" s="353" t="s">
        <v>140</v>
      </c>
      <c r="N86" s="353" t="s">
        <v>140</v>
      </c>
      <c r="O86" s="354" t="s">
        <v>140</v>
      </c>
      <c r="P86" s="346" t="s">
        <v>140</v>
      </c>
    </row>
    <row r="87" spans="1:16" x14ac:dyDescent="0.35">
      <c r="A87" t="s">
        <v>76</v>
      </c>
      <c r="B87" t="s">
        <v>38</v>
      </c>
      <c r="C87" t="s">
        <v>39</v>
      </c>
      <c r="D87" s="338">
        <v>0</v>
      </c>
      <c r="E87" s="338">
        <v>0</v>
      </c>
      <c r="F87" s="339" t="s">
        <v>140</v>
      </c>
      <c r="G87" s="340">
        <v>0</v>
      </c>
      <c r="H87" s="340">
        <v>0</v>
      </c>
      <c r="I87" s="341" t="s">
        <v>140</v>
      </c>
      <c r="J87" s="342">
        <v>0.16600000000000001</v>
      </c>
      <c r="K87" s="342">
        <v>0.16200000000000001</v>
      </c>
      <c r="L87" s="343">
        <v>2.4691358024691377E-2</v>
      </c>
      <c r="M87" s="344" t="s">
        <v>140</v>
      </c>
      <c r="N87" s="344" t="s">
        <v>140</v>
      </c>
      <c r="O87" s="345" t="s">
        <v>140</v>
      </c>
      <c r="P87" s="346" t="s">
        <v>140</v>
      </c>
    </row>
    <row r="88" spans="1:16" x14ac:dyDescent="0.35">
      <c r="A88" t="s">
        <v>76</v>
      </c>
      <c r="B88" t="s">
        <v>37</v>
      </c>
      <c r="C88" t="s">
        <v>39</v>
      </c>
      <c r="D88" s="347">
        <v>0</v>
      </c>
      <c r="E88" s="347">
        <v>0</v>
      </c>
      <c r="F88" s="348" t="s">
        <v>140</v>
      </c>
      <c r="G88" s="349">
        <v>0</v>
      </c>
      <c r="H88" s="349">
        <v>0</v>
      </c>
      <c r="I88" s="350" t="s">
        <v>140</v>
      </c>
      <c r="J88" s="351">
        <v>3.1E-2</v>
      </c>
      <c r="K88" s="351">
        <v>4.5999999999999999E-2</v>
      </c>
      <c r="L88" s="352">
        <v>-0.32608695652173914</v>
      </c>
      <c r="M88" s="353" t="s">
        <v>140</v>
      </c>
      <c r="N88" s="353" t="s">
        <v>140</v>
      </c>
      <c r="O88" s="354" t="s">
        <v>140</v>
      </c>
      <c r="P88" s="346" t="s">
        <v>140</v>
      </c>
    </row>
    <row r="89" spans="1:16" x14ac:dyDescent="0.35">
      <c r="A89" t="s">
        <v>76</v>
      </c>
      <c r="B89" t="s">
        <v>271</v>
      </c>
      <c r="C89" t="s">
        <v>196</v>
      </c>
      <c r="D89" s="338">
        <v>0</v>
      </c>
      <c r="E89" s="338">
        <v>0</v>
      </c>
      <c r="F89" s="339" t="s">
        <v>140</v>
      </c>
      <c r="G89" s="340">
        <v>0</v>
      </c>
      <c r="H89" s="340">
        <v>0</v>
      </c>
      <c r="I89" s="341" t="s">
        <v>140</v>
      </c>
      <c r="J89" s="342">
        <v>1069.6302049000001</v>
      </c>
      <c r="K89" s="342">
        <v>985.18274157303358</v>
      </c>
      <c r="L89" s="343">
        <v>8.5717562603796621E-2</v>
      </c>
      <c r="M89" s="344" t="s">
        <v>140</v>
      </c>
      <c r="N89" s="344" t="s">
        <v>140</v>
      </c>
      <c r="O89" s="345" t="s">
        <v>140</v>
      </c>
      <c r="P89" s="346" t="s">
        <v>140</v>
      </c>
    </row>
    <row r="90" spans="1:16" x14ac:dyDescent="0.35">
      <c r="A90" t="s">
        <v>144</v>
      </c>
      <c r="B90" t="s">
        <v>38</v>
      </c>
      <c r="C90" t="s">
        <v>39</v>
      </c>
      <c r="D90" s="347">
        <v>0</v>
      </c>
      <c r="E90" s="347">
        <v>0</v>
      </c>
      <c r="F90" s="348" t="s">
        <v>140</v>
      </c>
      <c r="G90" s="349">
        <v>0</v>
      </c>
      <c r="H90" s="349">
        <v>0</v>
      </c>
      <c r="I90" s="350" t="s">
        <v>140</v>
      </c>
      <c r="J90" s="351">
        <v>0.16600000000000001</v>
      </c>
      <c r="K90" s="351">
        <v>0.16200000000000001</v>
      </c>
      <c r="L90" s="352">
        <v>2.4691358024691377E-2</v>
      </c>
      <c r="M90" s="353" t="s">
        <v>140</v>
      </c>
      <c r="N90" s="353" t="s">
        <v>140</v>
      </c>
      <c r="O90" s="354" t="s">
        <v>140</v>
      </c>
      <c r="P90" s="346" t="s">
        <v>140</v>
      </c>
    </row>
    <row r="91" spans="1:16" x14ac:dyDescent="0.35">
      <c r="A91" t="s">
        <v>144</v>
      </c>
      <c r="B91" t="s">
        <v>36</v>
      </c>
      <c r="C91" t="s">
        <v>39</v>
      </c>
      <c r="D91" s="338">
        <v>0</v>
      </c>
      <c r="E91" s="338">
        <v>0</v>
      </c>
      <c r="F91" s="339" t="s">
        <v>140</v>
      </c>
      <c r="G91" s="340">
        <v>0</v>
      </c>
      <c r="H91" s="340">
        <v>0</v>
      </c>
      <c r="I91" s="341" t="s">
        <v>140</v>
      </c>
      <c r="J91" s="342">
        <v>7.1333300000000002E-2</v>
      </c>
      <c r="K91" s="342">
        <v>9.3666700000000006E-2</v>
      </c>
      <c r="L91" s="343">
        <v>-0.23843479059260123</v>
      </c>
      <c r="M91" s="344" t="s">
        <v>140</v>
      </c>
      <c r="N91" s="344" t="s">
        <v>140</v>
      </c>
      <c r="O91" s="345" t="s">
        <v>140</v>
      </c>
      <c r="P91" s="346" t="s">
        <v>140</v>
      </c>
    </row>
    <row r="92" spans="1:16" x14ac:dyDescent="0.35">
      <c r="A92" t="s">
        <v>144</v>
      </c>
      <c r="B92" t="s">
        <v>35</v>
      </c>
      <c r="C92" t="s">
        <v>39</v>
      </c>
      <c r="D92" s="347">
        <v>0</v>
      </c>
      <c r="E92" s="347">
        <v>0</v>
      </c>
      <c r="F92" s="348" t="s">
        <v>140</v>
      </c>
      <c r="G92" s="349">
        <v>0</v>
      </c>
      <c r="H92" s="349">
        <v>0</v>
      </c>
      <c r="I92" s="350" t="s">
        <v>140</v>
      </c>
      <c r="J92" s="351">
        <v>3.1E-2</v>
      </c>
      <c r="K92" s="351">
        <v>3.6999999999999998E-2</v>
      </c>
      <c r="L92" s="352">
        <v>-0.16216216216216212</v>
      </c>
      <c r="M92" s="353" t="s">
        <v>140</v>
      </c>
      <c r="N92" s="353" t="s">
        <v>140</v>
      </c>
      <c r="O92" s="354" t="s">
        <v>140</v>
      </c>
      <c r="P92" s="346" t="s">
        <v>140</v>
      </c>
    </row>
    <row r="93" spans="1:16" x14ac:dyDescent="0.35">
      <c r="A93" t="s">
        <v>144</v>
      </c>
      <c r="B93" t="s">
        <v>37</v>
      </c>
      <c r="C93" t="s">
        <v>39</v>
      </c>
      <c r="D93" s="338">
        <v>0</v>
      </c>
      <c r="E93" s="338">
        <v>0</v>
      </c>
      <c r="F93" s="339" t="s">
        <v>140</v>
      </c>
      <c r="G93" s="340">
        <v>0</v>
      </c>
      <c r="H93" s="340">
        <v>0</v>
      </c>
      <c r="I93" s="341" t="s">
        <v>140</v>
      </c>
      <c r="J93" s="342">
        <v>3.1E-2</v>
      </c>
      <c r="K93" s="342">
        <v>4.5999999999999999E-2</v>
      </c>
      <c r="L93" s="343">
        <v>-0.32608695652173914</v>
      </c>
      <c r="M93" s="344" t="s">
        <v>140</v>
      </c>
      <c r="N93" s="344" t="s">
        <v>140</v>
      </c>
      <c r="O93" s="345" t="s">
        <v>140</v>
      </c>
      <c r="P93" s="346" t="s">
        <v>140</v>
      </c>
    </row>
    <row r="94" spans="1:16" x14ac:dyDescent="0.35">
      <c r="A94" t="s">
        <v>144</v>
      </c>
      <c r="B94" t="s">
        <v>313</v>
      </c>
      <c r="C94" t="s">
        <v>39</v>
      </c>
      <c r="D94" s="347">
        <v>0</v>
      </c>
      <c r="E94" s="347">
        <v>0</v>
      </c>
      <c r="F94" s="348" t="s">
        <v>140</v>
      </c>
      <c r="G94" s="349">
        <v>0</v>
      </c>
      <c r="H94" s="349">
        <v>0</v>
      </c>
      <c r="I94" s="350" t="s">
        <v>140</v>
      </c>
      <c r="J94" s="351">
        <v>0.16098680000000001</v>
      </c>
      <c r="K94" s="351">
        <v>0.16098680000000001</v>
      </c>
      <c r="L94" s="352">
        <v>0</v>
      </c>
      <c r="M94" s="353" t="s">
        <v>140</v>
      </c>
      <c r="N94" s="353" t="s">
        <v>140</v>
      </c>
      <c r="O94" s="354" t="s">
        <v>140</v>
      </c>
      <c r="P94" s="346" t="s">
        <v>140</v>
      </c>
    </row>
    <row r="95" spans="1:16" x14ac:dyDescent="0.35">
      <c r="A95" t="s">
        <v>144</v>
      </c>
      <c r="B95" t="s">
        <v>332</v>
      </c>
      <c r="C95" t="s">
        <v>39</v>
      </c>
      <c r="D95" s="338">
        <v>0</v>
      </c>
      <c r="E95" s="338">
        <v>0</v>
      </c>
      <c r="F95" s="339" t="s">
        <v>140</v>
      </c>
      <c r="G95" s="340">
        <v>0</v>
      </c>
      <c r="H95" s="340">
        <v>0</v>
      </c>
      <c r="I95" s="341" t="s">
        <v>140</v>
      </c>
      <c r="J95" s="342">
        <v>0.1097371</v>
      </c>
      <c r="K95" s="342">
        <v>0.1097371</v>
      </c>
      <c r="L95" s="343">
        <v>0</v>
      </c>
      <c r="M95" s="344" t="s">
        <v>140</v>
      </c>
      <c r="N95" s="344" t="s">
        <v>140</v>
      </c>
      <c r="O95" s="345" t="s">
        <v>140</v>
      </c>
      <c r="P95" s="346" t="s">
        <v>140</v>
      </c>
    </row>
    <row r="96" spans="1:16" x14ac:dyDescent="0.35">
      <c r="A96" t="s">
        <v>144</v>
      </c>
      <c r="B96" t="s">
        <v>333</v>
      </c>
      <c r="C96" t="s">
        <v>39</v>
      </c>
      <c r="D96" s="347">
        <v>0</v>
      </c>
      <c r="E96" s="347">
        <v>0</v>
      </c>
      <c r="F96" s="348" t="s">
        <v>140</v>
      </c>
      <c r="G96" s="349">
        <v>0</v>
      </c>
      <c r="H96" s="349">
        <v>0</v>
      </c>
      <c r="I96" s="350" t="s">
        <v>140</v>
      </c>
      <c r="J96" s="351">
        <v>0.1542306</v>
      </c>
      <c r="K96" s="351">
        <v>0.1542306</v>
      </c>
      <c r="L96" s="352">
        <v>0</v>
      </c>
      <c r="M96" s="353" t="s">
        <v>140</v>
      </c>
      <c r="N96" s="353" t="s">
        <v>140</v>
      </c>
      <c r="O96" s="354" t="s">
        <v>140</v>
      </c>
      <c r="P96" s="346" t="s">
        <v>140</v>
      </c>
    </row>
    <row r="97" spans="1:16" x14ac:dyDescent="0.35">
      <c r="A97" t="s">
        <v>144</v>
      </c>
      <c r="B97" t="s">
        <v>122</v>
      </c>
      <c r="C97" t="s">
        <v>195</v>
      </c>
      <c r="D97" s="338">
        <v>0</v>
      </c>
      <c r="E97" s="338">
        <v>0</v>
      </c>
      <c r="F97" s="339" t="s">
        <v>140</v>
      </c>
      <c r="G97" s="340">
        <v>0</v>
      </c>
      <c r="H97" s="340">
        <v>0</v>
      </c>
      <c r="I97" s="341" t="s">
        <v>140</v>
      </c>
      <c r="J97" s="342">
        <v>11.3095482</v>
      </c>
      <c r="K97" s="342">
        <v>15</v>
      </c>
      <c r="L97" s="343">
        <v>-0.24603011999999999</v>
      </c>
      <c r="M97" s="344" t="s">
        <v>140</v>
      </c>
      <c r="N97" s="344" t="s">
        <v>140</v>
      </c>
      <c r="O97" s="345" t="s">
        <v>140</v>
      </c>
      <c r="P97" s="346" t="s">
        <v>140</v>
      </c>
    </row>
    <row r="98" spans="1:16" x14ac:dyDescent="0.35">
      <c r="A98" t="s">
        <v>77</v>
      </c>
      <c r="B98" t="s">
        <v>452</v>
      </c>
      <c r="C98" t="s">
        <v>40</v>
      </c>
      <c r="D98" s="347">
        <v>0</v>
      </c>
      <c r="E98" s="347" t="s">
        <v>488</v>
      </c>
      <c r="F98" s="348" t="s">
        <v>140</v>
      </c>
      <c r="G98" s="349">
        <v>0</v>
      </c>
      <c r="H98" s="349" t="s">
        <v>488</v>
      </c>
      <c r="I98" s="350" t="s">
        <v>140</v>
      </c>
      <c r="J98" s="351">
        <v>0.121</v>
      </c>
      <c r="K98" s="351" t="s">
        <v>488</v>
      </c>
      <c r="L98" s="352" t="s">
        <v>140</v>
      </c>
      <c r="M98" s="353" t="s">
        <v>140</v>
      </c>
      <c r="N98" s="353" t="s">
        <v>488</v>
      </c>
      <c r="O98" s="354" t="s">
        <v>140</v>
      </c>
      <c r="P98" s="346" t="s">
        <v>489</v>
      </c>
    </row>
    <row r="99" spans="1:16" x14ac:dyDescent="0.35">
      <c r="A99" t="s">
        <v>77</v>
      </c>
      <c r="B99" t="s">
        <v>60</v>
      </c>
      <c r="C99" t="s">
        <v>40</v>
      </c>
      <c r="D99" s="338">
        <v>0</v>
      </c>
      <c r="E99" s="338">
        <v>0</v>
      </c>
      <c r="F99" s="339" t="s">
        <v>140</v>
      </c>
      <c r="G99" s="340">
        <v>0</v>
      </c>
      <c r="H99" s="340">
        <v>0</v>
      </c>
      <c r="I99" s="341" t="s">
        <v>140</v>
      </c>
      <c r="J99" s="342">
        <v>0.56899999999999995</v>
      </c>
      <c r="K99" s="342">
        <v>0.246</v>
      </c>
      <c r="L99" s="343">
        <v>1.3130081300813006</v>
      </c>
      <c r="M99" s="344" t="s">
        <v>140</v>
      </c>
      <c r="N99" s="344" t="s">
        <v>140</v>
      </c>
      <c r="O99" s="345" t="s">
        <v>140</v>
      </c>
      <c r="P99" s="346" t="s">
        <v>491</v>
      </c>
    </row>
    <row r="100" spans="1:16" x14ac:dyDescent="0.35">
      <c r="A100" t="s">
        <v>77</v>
      </c>
      <c r="B100" t="s">
        <v>67</v>
      </c>
      <c r="C100" t="s">
        <v>40</v>
      </c>
      <c r="D100" s="347">
        <v>0</v>
      </c>
      <c r="E100" s="347">
        <v>0</v>
      </c>
      <c r="F100" s="348" t="s">
        <v>140</v>
      </c>
      <c r="G100" s="349">
        <v>0</v>
      </c>
      <c r="H100" s="349">
        <v>0</v>
      </c>
      <c r="I100" s="350" t="s">
        <v>140</v>
      </c>
      <c r="J100" s="351">
        <v>0.39800000000000002</v>
      </c>
      <c r="K100" s="351">
        <v>0.192</v>
      </c>
      <c r="L100" s="352">
        <v>1.0729166666666667</v>
      </c>
      <c r="M100" s="353" t="s">
        <v>140</v>
      </c>
      <c r="N100" s="353" t="s">
        <v>140</v>
      </c>
      <c r="O100" s="354" t="s">
        <v>140</v>
      </c>
      <c r="P100" s="346" t="s">
        <v>491</v>
      </c>
    </row>
    <row r="101" spans="1:16" x14ac:dyDescent="0.35">
      <c r="A101" t="s">
        <v>77</v>
      </c>
      <c r="B101" t="s">
        <v>68</v>
      </c>
      <c r="C101" t="s">
        <v>40</v>
      </c>
      <c r="D101" s="338">
        <v>0</v>
      </c>
      <c r="E101" s="338">
        <v>0</v>
      </c>
      <c r="F101" s="339" t="s">
        <v>140</v>
      </c>
      <c r="G101" s="340">
        <v>0</v>
      </c>
      <c r="H101" s="340">
        <v>0</v>
      </c>
      <c r="I101" s="341" t="s">
        <v>140</v>
      </c>
      <c r="J101" s="342">
        <v>0.253</v>
      </c>
      <c r="K101" s="342">
        <v>0.112</v>
      </c>
      <c r="L101" s="343">
        <v>1.2589285714285716</v>
      </c>
      <c r="M101" s="344" t="s">
        <v>140</v>
      </c>
      <c r="N101" s="344" t="s">
        <v>140</v>
      </c>
      <c r="O101" s="345" t="s">
        <v>140</v>
      </c>
      <c r="P101" s="346" t="s">
        <v>491</v>
      </c>
    </row>
    <row r="102" spans="1:16" x14ac:dyDescent="0.35">
      <c r="A102" t="s">
        <v>77</v>
      </c>
      <c r="B102" t="s">
        <v>337</v>
      </c>
      <c r="C102" t="s">
        <v>40</v>
      </c>
      <c r="D102" s="347">
        <v>0</v>
      </c>
      <c r="E102" s="347">
        <v>0</v>
      </c>
      <c r="F102" s="348" t="s">
        <v>140</v>
      </c>
      <c r="G102" s="349">
        <v>0</v>
      </c>
      <c r="H102" s="349">
        <v>0</v>
      </c>
      <c r="I102" s="350" t="s">
        <v>140</v>
      </c>
      <c r="J102" s="351">
        <v>0.10299999999999999</v>
      </c>
      <c r="K102" s="351">
        <v>7.1999999999999995E-2</v>
      </c>
      <c r="L102" s="352">
        <v>0.43055555555555558</v>
      </c>
      <c r="M102" s="353" t="s">
        <v>140</v>
      </c>
      <c r="N102" s="353" t="s">
        <v>140</v>
      </c>
      <c r="O102" s="354" t="s">
        <v>140</v>
      </c>
      <c r="P102" s="346" t="s">
        <v>491</v>
      </c>
    </row>
    <row r="103" spans="1:16" x14ac:dyDescent="0.35">
      <c r="A103" t="s">
        <v>77</v>
      </c>
      <c r="B103" t="s">
        <v>453</v>
      </c>
      <c r="C103" t="s">
        <v>40</v>
      </c>
      <c r="D103" s="338">
        <v>0</v>
      </c>
      <c r="E103" s="338" t="s">
        <v>488</v>
      </c>
      <c r="F103" s="339" t="s">
        <v>140</v>
      </c>
      <c r="G103" s="340">
        <v>0</v>
      </c>
      <c r="H103" s="340" t="s">
        <v>488</v>
      </c>
      <c r="I103" s="341" t="s">
        <v>140</v>
      </c>
      <c r="J103" s="342">
        <v>1.6E-2</v>
      </c>
      <c r="K103" s="342" t="s">
        <v>488</v>
      </c>
      <c r="L103" s="343" t="s">
        <v>140</v>
      </c>
      <c r="M103" s="344" t="s">
        <v>140</v>
      </c>
      <c r="N103" s="344" t="s">
        <v>488</v>
      </c>
      <c r="O103" s="345" t="s">
        <v>140</v>
      </c>
      <c r="P103" s="346" t="s">
        <v>489</v>
      </c>
    </row>
    <row r="104" spans="1:16" x14ac:dyDescent="0.35">
      <c r="A104" t="s">
        <v>77</v>
      </c>
      <c r="B104" t="s">
        <v>61</v>
      </c>
      <c r="C104" t="s">
        <v>40</v>
      </c>
      <c r="D104" s="347">
        <v>0</v>
      </c>
      <c r="E104" s="347">
        <v>0</v>
      </c>
      <c r="F104" s="348" t="s">
        <v>140</v>
      </c>
      <c r="G104" s="349">
        <v>0</v>
      </c>
      <c r="H104" s="349">
        <v>0</v>
      </c>
      <c r="I104" s="350" t="s">
        <v>140</v>
      </c>
      <c r="J104" s="351">
        <v>1.4999999999999999E-2</v>
      </c>
      <c r="K104" s="351">
        <v>1.7999999999999999E-2</v>
      </c>
      <c r="L104" s="352">
        <v>-0.16666666666666663</v>
      </c>
      <c r="M104" s="353" t="s">
        <v>140</v>
      </c>
      <c r="N104" s="353" t="s">
        <v>140</v>
      </c>
      <c r="O104" s="354" t="s">
        <v>140</v>
      </c>
      <c r="P104" s="346" t="s">
        <v>491</v>
      </c>
    </row>
    <row r="105" spans="1:16" x14ac:dyDescent="0.35">
      <c r="A105" t="s">
        <v>77</v>
      </c>
      <c r="B105" t="s">
        <v>62</v>
      </c>
      <c r="C105" t="s">
        <v>40</v>
      </c>
      <c r="D105" s="338">
        <v>0</v>
      </c>
      <c r="E105" s="338">
        <v>0</v>
      </c>
      <c r="F105" s="339" t="s">
        <v>140</v>
      </c>
      <c r="G105" s="340">
        <v>0</v>
      </c>
      <c r="H105" s="340">
        <v>0</v>
      </c>
      <c r="I105" s="341" t="s">
        <v>140</v>
      </c>
      <c r="J105" s="342">
        <v>2.8000000000000001E-2</v>
      </c>
      <c r="K105" s="342">
        <v>2.8000000000000001E-2</v>
      </c>
      <c r="L105" s="343">
        <v>0</v>
      </c>
      <c r="M105" s="344" t="s">
        <v>140</v>
      </c>
      <c r="N105" s="344" t="s">
        <v>140</v>
      </c>
      <c r="O105" s="345" t="s">
        <v>140</v>
      </c>
      <c r="P105" s="346" t="s">
        <v>491</v>
      </c>
    </row>
    <row r="106" spans="1:16" x14ac:dyDescent="0.35">
      <c r="A106" t="s">
        <v>77</v>
      </c>
      <c r="B106" t="s">
        <v>63</v>
      </c>
      <c r="C106" t="s">
        <v>40</v>
      </c>
      <c r="D106" s="347">
        <v>0</v>
      </c>
      <c r="E106" s="347">
        <v>0</v>
      </c>
      <c r="F106" s="348" t="s">
        <v>140</v>
      </c>
      <c r="G106" s="349">
        <v>0</v>
      </c>
      <c r="H106" s="349">
        <v>0</v>
      </c>
      <c r="I106" s="350" t="s">
        <v>140</v>
      </c>
      <c r="J106" s="351">
        <v>1.7000000000000001E-2</v>
      </c>
      <c r="K106" s="351">
        <v>1.7000000000000001E-2</v>
      </c>
      <c r="L106" s="352">
        <v>0</v>
      </c>
      <c r="M106" s="353" t="s">
        <v>140</v>
      </c>
      <c r="N106" s="353" t="s">
        <v>140</v>
      </c>
      <c r="O106" s="354" t="s">
        <v>140</v>
      </c>
      <c r="P106" s="346" t="s">
        <v>140</v>
      </c>
    </row>
    <row r="107" spans="1:16" x14ac:dyDescent="0.35">
      <c r="A107" t="s">
        <v>77</v>
      </c>
      <c r="B107" t="s">
        <v>64</v>
      </c>
      <c r="C107" t="s">
        <v>40</v>
      </c>
      <c r="D107" s="338">
        <v>0</v>
      </c>
      <c r="E107" s="338">
        <v>0</v>
      </c>
      <c r="F107" s="339" t="s">
        <v>140</v>
      </c>
      <c r="G107" s="340">
        <v>0</v>
      </c>
      <c r="H107" s="340">
        <v>0</v>
      </c>
      <c r="I107" s="341" t="s">
        <v>140</v>
      </c>
      <c r="J107" s="342">
        <v>6.0000000000000001E-3</v>
      </c>
      <c r="K107" s="342">
        <v>6.0000000000000001E-3</v>
      </c>
      <c r="L107" s="343">
        <v>0</v>
      </c>
      <c r="M107" s="344" t="s">
        <v>140</v>
      </c>
      <c r="N107" s="344" t="s">
        <v>140</v>
      </c>
      <c r="O107" s="345" t="s">
        <v>140</v>
      </c>
      <c r="P107" s="346" t="s">
        <v>140</v>
      </c>
    </row>
    <row r="108" spans="1:16" x14ac:dyDescent="0.35">
      <c r="A108" t="s">
        <v>77</v>
      </c>
      <c r="B108" t="s">
        <v>224</v>
      </c>
      <c r="C108" t="s">
        <v>40</v>
      </c>
      <c r="D108" s="347">
        <v>0</v>
      </c>
      <c r="E108" s="347">
        <v>0</v>
      </c>
      <c r="F108" s="348" t="s">
        <v>140</v>
      </c>
      <c r="G108" s="349">
        <v>0</v>
      </c>
      <c r="H108" s="349">
        <v>0</v>
      </c>
      <c r="I108" s="350" t="s">
        <v>140</v>
      </c>
      <c r="J108" s="351">
        <v>3.1E-2</v>
      </c>
      <c r="K108" s="351">
        <v>2.8000000000000001E-2</v>
      </c>
      <c r="L108" s="352">
        <v>0.10714285714285711</v>
      </c>
      <c r="M108" s="353" t="s">
        <v>140</v>
      </c>
      <c r="N108" s="353" t="s">
        <v>140</v>
      </c>
      <c r="O108" s="354" t="s">
        <v>140</v>
      </c>
      <c r="P108" s="346" t="s">
        <v>491</v>
      </c>
    </row>
    <row r="109" spans="1:16" x14ac:dyDescent="0.35">
      <c r="A109" t="s">
        <v>77</v>
      </c>
      <c r="B109" t="s">
        <v>65</v>
      </c>
      <c r="C109" t="s">
        <v>40</v>
      </c>
      <c r="D109" s="338">
        <v>0</v>
      </c>
      <c r="E109" s="338">
        <v>0</v>
      </c>
      <c r="F109" s="339" t="s">
        <v>140</v>
      </c>
      <c r="G109" s="340">
        <v>0</v>
      </c>
      <c r="H109" s="340">
        <v>0</v>
      </c>
      <c r="I109" s="341" t="s">
        <v>140</v>
      </c>
      <c r="J109" s="342">
        <v>0.57399999999999995</v>
      </c>
      <c r="K109" s="342">
        <v>0.57399999999999995</v>
      </c>
      <c r="L109" s="343">
        <v>0</v>
      </c>
      <c r="M109" s="344" t="s">
        <v>140</v>
      </c>
      <c r="N109" s="344" t="s">
        <v>140</v>
      </c>
      <c r="O109" s="345" t="s">
        <v>140</v>
      </c>
      <c r="P109" s="346" t="s">
        <v>140</v>
      </c>
    </row>
    <row r="110" spans="1:16" x14ac:dyDescent="0.35">
      <c r="A110" t="s">
        <v>77</v>
      </c>
      <c r="B110" t="s">
        <v>66</v>
      </c>
      <c r="C110" t="s">
        <v>40</v>
      </c>
      <c r="D110" s="347">
        <v>0</v>
      </c>
      <c r="E110" s="347">
        <v>0</v>
      </c>
      <c r="F110" s="348" t="s">
        <v>140</v>
      </c>
      <c r="G110" s="349">
        <v>0</v>
      </c>
      <c r="H110" s="349">
        <v>0</v>
      </c>
      <c r="I110" s="350" t="s">
        <v>140</v>
      </c>
      <c r="J110" s="351">
        <v>1.0009999999999999</v>
      </c>
      <c r="K110" s="351">
        <v>1.0009999999999999</v>
      </c>
      <c r="L110" s="352">
        <v>0</v>
      </c>
      <c r="M110" s="353" t="s">
        <v>140</v>
      </c>
      <c r="N110" s="353" t="s">
        <v>140</v>
      </c>
      <c r="O110" s="354" t="s">
        <v>140</v>
      </c>
      <c r="P110" s="346" t="s">
        <v>140</v>
      </c>
    </row>
    <row r="111" spans="1:16" x14ac:dyDescent="0.35">
      <c r="A111" t="s">
        <v>77</v>
      </c>
      <c r="B111" t="s">
        <v>145</v>
      </c>
      <c r="C111" t="s">
        <v>69</v>
      </c>
      <c r="D111" s="338">
        <v>0</v>
      </c>
      <c r="E111" s="338">
        <v>0</v>
      </c>
      <c r="F111" s="339" t="s">
        <v>140</v>
      </c>
      <c r="G111" s="340">
        <v>0</v>
      </c>
      <c r="H111" s="340">
        <v>0</v>
      </c>
      <c r="I111" s="341" t="s">
        <v>140</v>
      </c>
      <c r="J111" s="342">
        <v>1</v>
      </c>
      <c r="K111" s="342">
        <v>1</v>
      </c>
      <c r="L111" s="343">
        <v>0</v>
      </c>
      <c r="M111" s="344" t="s">
        <v>140</v>
      </c>
      <c r="N111" s="344" t="s">
        <v>140</v>
      </c>
      <c r="O111" s="345" t="s">
        <v>140</v>
      </c>
      <c r="P111" s="346" t="s">
        <v>140</v>
      </c>
    </row>
    <row r="112" spans="1:16" x14ac:dyDescent="0.35">
      <c r="A112" t="s">
        <v>242</v>
      </c>
      <c r="B112" t="s">
        <v>130</v>
      </c>
      <c r="C112" t="s">
        <v>30</v>
      </c>
      <c r="D112" s="347">
        <v>0</v>
      </c>
      <c r="E112" s="347">
        <v>0</v>
      </c>
      <c r="F112" s="348" t="s">
        <v>140</v>
      </c>
      <c r="G112" s="349">
        <v>0</v>
      </c>
      <c r="H112" s="349">
        <v>0</v>
      </c>
      <c r="I112" s="350" t="s">
        <v>140</v>
      </c>
      <c r="J112" s="351">
        <v>3.6666666999999999</v>
      </c>
      <c r="K112" s="351">
        <v>3.6666666999999999</v>
      </c>
      <c r="L112" s="352">
        <v>0</v>
      </c>
      <c r="M112" s="353" t="s">
        <v>140</v>
      </c>
      <c r="N112" s="353" t="s">
        <v>140</v>
      </c>
      <c r="O112" s="354" t="s">
        <v>140</v>
      </c>
      <c r="P112" s="346" t="s">
        <v>140</v>
      </c>
    </row>
    <row r="113" spans="1:16" x14ac:dyDescent="0.35">
      <c r="A113" t="s">
        <v>242</v>
      </c>
      <c r="B113" t="s">
        <v>272</v>
      </c>
      <c r="C113" t="s">
        <v>41</v>
      </c>
      <c r="D113" s="338">
        <v>0</v>
      </c>
      <c r="E113" s="338">
        <v>0</v>
      </c>
      <c r="F113" s="339" t="s">
        <v>140</v>
      </c>
      <c r="G113" s="340">
        <v>0</v>
      </c>
      <c r="H113" s="340">
        <v>0</v>
      </c>
      <c r="I113" s="341" t="s">
        <v>140</v>
      </c>
      <c r="J113" s="342">
        <v>1.1000000000000001</v>
      </c>
      <c r="K113" s="342">
        <v>1.1000000000000001</v>
      </c>
      <c r="L113" s="343">
        <v>0</v>
      </c>
      <c r="M113" s="344" t="s">
        <v>140</v>
      </c>
      <c r="N113" s="344" t="s">
        <v>140</v>
      </c>
      <c r="O113" s="345" t="s">
        <v>140</v>
      </c>
      <c r="P113" s="346" t="s">
        <v>140</v>
      </c>
    </row>
    <row r="114" spans="1:16" x14ac:dyDescent="0.35">
      <c r="A114" t="s">
        <v>242</v>
      </c>
      <c r="B114" t="s">
        <v>131</v>
      </c>
      <c r="C114" t="s">
        <v>30</v>
      </c>
      <c r="D114" s="347">
        <v>0</v>
      </c>
      <c r="E114" s="347">
        <v>0</v>
      </c>
      <c r="F114" s="348" t="s">
        <v>140</v>
      </c>
      <c r="G114" s="349">
        <v>0</v>
      </c>
      <c r="H114" s="349">
        <v>0</v>
      </c>
      <c r="I114" s="350" t="s">
        <v>140</v>
      </c>
      <c r="J114" s="351">
        <v>8.5975000000000001</v>
      </c>
      <c r="K114" s="351">
        <v>8.5974999999999984</v>
      </c>
      <c r="L114" s="352">
        <v>2.0661318283224784E-16</v>
      </c>
      <c r="M114" s="353" t="s">
        <v>140</v>
      </c>
      <c r="N114" s="353" t="s">
        <v>140</v>
      </c>
      <c r="O114" s="354" t="s">
        <v>140</v>
      </c>
      <c r="P114" s="346" t="s">
        <v>140</v>
      </c>
    </row>
    <row r="115" spans="1:16" x14ac:dyDescent="0.35">
      <c r="A115" t="s">
        <v>242</v>
      </c>
      <c r="B115" t="s">
        <v>273</v>
      </c>
      <c r="C115" t="s">
        <v>41</v>
      </c>
      <c r="D115" s="338">
        <v>0</v>
      </c>
      <c r="E115" s="338">
        <v>0</v>
      </c>
      <c r="F115" s="339" t="s">
        <v>140</v>
      </c>
      <c r="G115" s="340">
        <v>0</v>
      </c>
      <c r="H115" s="340">
        <v>0</v>
      </c>
      <c r="I115" s="341" t="s">
        <v>140</v>
      </c>
      <c r="J115" s="342">
        <v>0.13755999999999999</v>
      </c>
      <c r="K115" s="342">
        <v>0.13755999999999999</v>
      </c>
      <c r="L115" s="343">
        <v>0</v>
      </c>
      <c r="M115" s="344" t="s">
        <v>140</v>
      </c>
      <c r="N115" s="344" t="s">
        <v>140</v>
      </c>
      <c r="O115" s="345" t="s">
        <v>140</v>
      </c>
      <c r="P115" s="346" t="s">
        <v>140</v>
      </c>
    </row>
    <row r="116" spans="1:16" x14ac:dyDescent="0.35">
      <c r="A116" t="s">
        <v>242</v>
      </c>
      <c r="B116" t="s">
        <v>132</v>
      </c>
      <c r="C116" t="s">
        <v>30</v>
      </c>
      <c r="D116" s="347">
        <v>0</v>
      </c>
      <c r="E116" s="347">
        <v>0</v>
      </c>
      <c r="F116" s="348" t="s">
        <v>140</v>
      </c>
      <c r="G116" s="349">
        <v>0</v>
      </c>
      <c r="H116" s="349">
        <v>0</v>
      </c>
      <c r="I116" s="350" t="s">
        <v>140</v>
      </c>
      <c r="J116" s="351">
        <v>8.5975000000000001</v>
      </c>
      <c r="K116" s="351">
        <v>8.5974999999999984</v>
      </c>
      <c r="L116" s="352">
        <v>2.0661318283224784E-16</v>
      </c>
      <c r="M116" s="353" t="s">
        <v>140</v>
      </c>
      <c r="N116" s="353" t="s">
        <v>140</v>
      </c>
      <c r="O116" s="354" t="s">
        <v>140</v>
      </c>
      <c r="P116" s="346" t="s">
        <v>140</v>
      </c>
    </row>
    <row r="117" spans="1:16" x14ac:dyDescent="0.35">
      <c r="A117" t="s">
        <v>242</v>
      </c>
      <c r="B117" t="s">
        <v>274</v>
      </c>
      <c r="C117" t="s">
        <v>41</v>
      </c>
      <c r="D117" s="338">
        <v>0</v>
      </c>
      <c r="E117" s="338">
        <v>0</v>
      </c>
      <c r="F117" s="339" t="s">
        <v>140</v>
      </c>
      <c r="G117" s="340">
        <v>0</v>
      </c>
      <c r="H117" s="340">
        <v>0</v>
      </c>
      <c r="I117" s="341" t="s">
        <v>140</v>
      </c>
      <c r="J117" s="342">
        <v>0.13755999999999999</v>
      </c>
      <c r="K117" s="342">
        <v>0.13755999999999999</v>
      </c>
      <c r="L117" s="343">
        <v>0</v>
      </c>
      <c r="M117" s="344" t="s">
        <v>140</v>
      </c>
      <c r="N117" s="344" t="s">
        <v>140</v>
      </c>
      <c r="O117" s="345" t="s">
        <v>140</v>
      </c>
      <c r="P117" s="346" t="s">
        <v>140</v>
      </c>
    </row>
    <row r="118" spans="1:16" x14ac:dyDescent="0.35">
      <c r="A118" t="s">
        <v>78</v>
      </c>
      <c r="B118" t="s">
        <v>94</v>
      </c>
      <c r="C118" t="s">
        <v>39</v>
      </c>
      <c r="D118" s="347">
        <v>0</v>
      </c>
      <c r="E118" s="347">
        <v>0</v>
      </c>
      <c r="F118" s="348" t="s">
        <v>140</v>
      </c>
      <c r="G118" s="349">
        <v>0</v>
      </c>
      <c r="H118" s="349">
        <v>0</v>
      </c>
      <c r="I118" s="350" t="s">
        <v>140</v>
      </c>
      <c r="J118" s="351">
        <v>0</v>
      </c>
      <c r="K118" s="351">
        <v>0</v>
      </c>
      <c r="L118" s="352" t="s">
        <v>140</v>
      </c>
      <c r="M118" s="353" t="s">
        <v>140</v>
      </c>
      <c r="N118" s="353" t="s">
        <v>140</v>
      </c>
      <c r="O118" s="354" t="s">
        <v>140</v>
      </c>
      <c r="P118" s="346" t="s">
        <v>140</v>
      </c>
    </row>
    <row r="119" spans="1:16" x14ac:dyDescent="0.35">
      <c r="A119" t="s">
        <v>78</v>
      </c>
      <c r="B119" t="s">
        <v>36</v>
      </c>
      <c r="C119" t="s">
        <v>39</v>
      </c>
      <c r="D119" s="338">
        <v>0</v>
      </c>
      <c r="E119" s="338">
        <v>0</v>
      </c>
      <c r="F119" s="339" t="s">
        <v>140</v>
      </c>
      <c r="G119" s="340">
        <v>0</v>
      </c>
      <c r="H119" s="340">
        <v>0</v>
      </c>
      <c r="I119" s="341" t="s">
        <v>140</v>
      </c>
      <c r="J119" s="342">
        <v>7.1333300000000002E-2</v>
      </c>
      <c r="K119" s="342">
        <v>9.3666700000000006E-2</v>
      </c>
      <c r="L119" s="343">
        <v>-0.23843479059260123</v>
      </c>
      <c r="M119" s="344" t="s">
        <v>140</v>
      </c>
      <c r="N119" s="344" t="s">
        <v>140</v>
      </c>
      <c r="O119" s="345" t="s">
        <v>140</v>
      </c>
      <c r="P119" s="346" t="s">
        <v>140</v>
      </c>
    </row>
    <row r="120" spans="1:16" x14ac:dyDescent="0.35">
      <c r="A120" t="s">
        <v>78</v>
      </c>
      <c r="B120" t="s">
        <v>38</v>
      </c>
      <c r="C120" t="s">
        <v>39</v>
      </c>
      <c r="D120" s="347">
        <v>0</v>
      </c>
      <c r="E120" s="347">
        <v>0</v>
      </c>
      <c r="F120" s="348" t="s">
        <v>140</v>
      </c>
      <c r="G120" s="349">
        <v>0</v>
      </c>
      <c r="H120" s="349">
        <v>0</v>
      </c>
      <c r="I120" s="350" t="s">
        <v>140</v>
      </c>
      <c r="J120" s="351">
        <v>0.16600000000000001</v>
      </c>
      <c r="K120" s="351">
        <v>0.16200000000000001</v>
      </c>
      <c r="L120" s="352">
        <v>2.4691358024691377E-2</v>
      </c>
      <c r="M120" s="353" t="s">
        <v>140</v>
      </c>
      <c r="N120" s="353" t="s">
        <v>140</v>
      </c>
      <c r="O120" s="354" t="s">
        <v>140</v>
      </c>
      <c r="P120" s="346" t="s">
        <v>140</v>
      </c>
    </row>
    <row r="121" spans="1:16" x14ac:dyDescent="0.35">
      <c r="A121" t="s">
        <v>78</v>
      </c>
      <c r="B121" t="s">
        <v>35</v>
      </c>
      <c r="C121" t="s">
        <v>39</v>
      </c>
      <c r="D121" s="338">
        <v>0</v>
      </c>
      <c r="E121" s="338">
        <v>0</v>
      </c>
      <c r="F121" s="339" t="s">
        <v>140</v>
      </c>
      <c r="G121" s="340">
        <v>0</v>
      </c>
      <c r="H121" s="340">
        <v>0</v>
      </c>
      <c r="I121" s="341" t="s">
        <v>140</v>
      </c>
      <c r="J121" s="342">
        <v>3.1E-2</v>
      </c>
      <c r="K121" s="342">
        <v>3.6999999999999998E-2</v>
      </c>
      <c r="L121" s="343">
        <v>-0.16216216216216212</v>
      </c>
      <c r="M121" s="344" t="s">
        <v>140</v>
      </c>
      <c r="N121" s="344" t="s">
        <v>140</v>
      </c>
      <c r="O121" s="345" t="s">
        <v>140</v>
      </c>
      <c r="P121" s="346" t="s">
        <v>140</v>
      </c>
    </row>
    <row r="122" spans="1:16" x14ac:dyDescent="0.35">
      <c r="A122" t="s">
        <v>78</v>
      </c>
      <c r="B122" t="s">
        <v>37</v>
      </c>
      <c r="C122" t="s">
        <v>39</v>
      </c>
      <c r="D122" s="347">
        <v>0</v>
      </c>
      <c r="E122" s="347">
        <v>0</v>
      </c>
      <c r="F122" s="348" t="s">
        <v>140</v>
      </c>
      <c r="G122" s="349">
        <v>0</v>
      </c>
      <c r="H122" s="349">
        <v>0</v>
      </c>
      <c r="I122" s="350" t="s">
        <v>140</v>
      </c>
      <c r="J122" s="351">
        <v>3.1E-2</v>
      </c>
      <c r="K122" s="351">
        <v>4.5999999999999999E-2</v>
      </c>
      <c r="L122" s="352">
        <v>-0.32608695652173914</v>
      </c>
      <c r="M122" s="353" t="s">
        <v>140</v>
      </c>
      <c r="N122" s="353" t="s">
        <v>140</v>
      </c>
      <c r="O122" s="354" t="s">
        <v>140</v>
      </c>
      <c r="P122" s="346" t="s">
        <v>140</v>
      </c>
    </row>
    <row r="123" spans="1:16" x14ac:dyDescent="0.35">
      <c r="A123" t="s">
        <v>78</v>
      </c>
      <c r="B123" t="s">
        <v>313</v>
      </c>
      <c r="C123" t="s">
        <v>39</v>
      </c>
      <c r="D123" s="338">
        <v>0</v>
      </c>
      <c r="E123" s="338">
        <v>0</v>
      </c>
      <c r="F123" s="339" t="s">
        <v>140</v>
      </c>
      <c r="G123" s="340">
        <v>0</v>
      </c>
      <c r="H123" s="340">
        <v>0</v>
      </c>
      <c r="I123" s="341" t="s">
        <v>140</v>
      </c>
      <c r="J123" s="342">
        <v>0.16098680000000001</v>
      </c>
      <c r="K123" s="342">
        <v>0.16098680000000001</v>
      </c>
      <c r="L123" s="343">
        <v>0</v>
      </c>
      <c r="M123" s="344" t="s">
        <v>140</v>
      </c>
      <c r="N123" s="344" t="s">
        <v>140</v>
      </c>
      <c r="O123" s="345" t="s">
        <v>140</v>
      </c>
      <c r="P123" s="346" t="s">
        <v>140</v>
      </c>
    </row>
    <row r="124" spans="1:16" x14ac:dyDescent="0.35">
      <c r="A124" t="s">
        <v>78</v>
      </c>
      <c r="B124" t="s">
        <v>332</v>
      </c>
      <c r="C124" t="s">
        <v>39</v>
      </c>
      <c r="D124" s="347">
        <v>0</v>
      </c>
      <c r="E124" s="347">
        <v>0</v>
      </c>
      <c r="F124" s="348" t="s">
        <v>140</v>
      </c>
      <c r="G124" s="349">
        <v>0</v>
      </c>
      <c r="H124" s="349">
        <v>0</v>
      </c>
      <c r="I124" s="350" t="s">
        <v>140</v>
      </c>
      <c r="J124" s="351">
        <v>0.1097371</v>
      </c>
      <c r="K124" s="351">
        <v>0.1097371</v>
      </c>
      <c r="L124" s="352">
        <v>0</v>
      </c>
      <c r="M124" s="353" t="s">
        <v>140</v>
      </c>
      <c r="N124" s="353" t="s">
        <v>140</v>
      </c>
      <c r="O124" s="354" t="s">
        <v>140</v>
      </c>
      <c r="P124" s="346" t="s">
        <v>140</v>
      </c>
    </row>
    <row r="125" spans="1:16" x14ac:dyDescent="0.35">
      <c r="A125" t="s">
        <v>78</v>
      </c>
      <c r="B125" t="s">
        <v>333</v>
      </c>
      <c r="C125" t="s">
        <v>39</v>
      </c>
      <c r="D125" s="338">
        <v>0</v>
      </c>
      <c r="E125" s="338">
        <v>0</v>
      </c>
      <c r="F125" s="339" t="s">
        <v>140</v>
      </c>
      <c r="G125" s="340">
        <v>0</v>
      </c>
      <c r="H125" s="340">
        <v>0</v>
      </c>
      <c r="I125" s="341" t="s">
        <v>140</v>
      </c>
      <c r="J125" s="342">
        <v>0.1542306</v>
      </c>
      <c r="K125" s="342">
        <v>0.1542306</v>
      </c>
      <c r="L125" s="343">
        <v>0</v>
      </c>
      <c r="M125" s="344" t="s">
        <v>140</v>
      </c>
      <c r="N125" s="344" t="s">
        <v>140</v>
      </c>
      <c r="O125" s="345" t="s">
        <v>140</v>
      </c>
      <c r="P125" s="346" t="s">
        <v>140</v>
      </c>
    </row>
    <row r="126" spans="1:16" x14ac:dyDescent="0.35">
      <c r="A126" t="s">
        <v>52</v>
      </c>
      <c r="B126" t="s">
        <v>42</v>
      </c>
      <c r="C126" t="s">
        <v>43</v>
      </c>
      <c r="D126" s="347">
        <v>0</v>
      </c>
      <c r="E126" s="347">
        <v>0</v>
      </c>
      <c r="F126" s="348" t="s">
        <v>140</v>
      </c>
      <c r="G126" s="349">
        <v>0</v>
      </c>
      <c r="H126" s="349">
        <v>0</v>
      </c>
      <c r="I126" s="350" t="s">
        <v>140</v>
      </c>
      <c r="J126" s="351">
        <v>0.1170827</v>
      </c>
      <c r="K126" s="351">
        <v>0.10251589999999999</v>
      </c>
      <c r="L126" s="352">
        <v>0.14209308019536487</v>
      </c>
      <c r="M126" s="353" t="s">
        <v>140</v>
      </c>
      <c r="N126" s="353" t="s">
        <v>140</v>
      </c>
      <c r="O126" s="354" t="s">
        <v>140</v>
      </c>
      <c r="P126" s="346" t="s">
        <v>140</v>
      </c>
    </row>
    <row r="127" spans="1:16" x14ac:dyDescent="0.35">
      <c r="A127" t="s">
        <v>52</v>
      </c>
      <c r="B127" t="s">
        <v>145</v>
      </c>
      <c r="C127" t="s">
        <v>69</v>
      </c>
      <c r="D127" s="338">
        <v>0</v>
      </c>
      <c r="E127" s="338">
        <v>0</v>
      </c>
      <c r="F127" s="339" t="s">
        <v>140</v>
      </c>
      <c r="G127" s="340">
        <v>0</v>
      </c>
      <c r="H127" s="340">
        <v>0</v>
      </c>
      <c r="I127" s="341" t="s">
        <v>140</v>
      </c>
      <c r="J127" s="342">
        <v>1</v>
      </c>
      <c r="K127" s="342">
        <v>1</v>
      </c>
      <c r="L127" s="343">
        <v>0</v>
      </c>
      <c r="M127" s="344" t="s">
        <v>140</v>
      </c>
      <c r="N127" s="344" t="s">
        <v>140</v>
      </c>
      <c r="O127" s="345" t="s">
        <v>140</v>
      </c>
      <c r="P127" s="346" t="s">
        <v>140</v>
      </c>
    </row>
    <row r="130" spans="1:16" ht="18.5" x14ac:dyDescent="0.45">
      <c r="A130" s="357" t="s">
        <v>124</v>
      </c>
    </row>
    <row r="131" spans="1:16" ht="18.5" x14ac:dyDescent="0.35">
      <c r="D131" s="475" t="s">
        <v>265</v>
      </c>
      <c r="E131" s="476"/>
      <c r="F131" s="477"/>
      <c r="G131" s="478" t="s">
        <v>266</v>
      </c>
      <c r="H131" s="479"/>
      <c r="I131" s="480"/>
      <c r="J131" s="481" t="s">
        <v>235</v>
      </c>
      <c r="K131" s="482"/>
      <c r="L131" s="483"/>
      <c r="M131" s="484" t="s">
        <v>236</v>
      </c>
      <c r="N131" s="485"/>
      <c r="O131" s="486"/>
    </row>
    <row r="132" spans="1:16" ht="44" thickBot="1" x14ac:dyDescent="0.4">
      <c r="A132" s="15" t="s">
        <v>0</v>
      </c>
      <c r="B132" s="15" t="s">
        <v>1</v>
      </c>
      <c r="C132" s="15" t="s">
        <v>59</v>
      </c>
      <c r="D132" s="332" t="s">
        <v>455</v>
      </c>
      <c r="E132" s="332" t="s">
        <v>456</v>
      </c>
      <c r="F132" s="332" t="s">
        <v>457</v>
      </c>
      <c r="G132" s="333" t="s">
        <v>458</v>
      </c>
      <c r="H132" s="333" t="s">
        <v>459</v>
      </c>
      <c r="I132" s="333" t="s">
        <v>460</v>
      </c>
      <c r="J132" s="334" t="s">
        <v>464</v>
      </c>
      <c r="K132" s="334" t="s">
        <v>465</v>
      </c>
      <c r="L132" s="334" t="s">
        <v>466</v>
      </c>
      <c r="M132" s="335" t="s">
        <v>467</v>
      </c>
      <c r="N132" s="336" t="s">
        <v>468</v>
      </c>
      <c r="O132" s="336" t="s">
        <v>469</v>
      </c>
      <c r="P132" s="355" t="s">
        <v>463</v>
      </c>
    </row>
    <row r="133" spans="1:16" ht="15" thickTop="1" x14ac:dyDescent="0.35">
      <c r="A133" t="s">
        <v>53</v>
      </c>
      <c r="B133" t="s">
        <v>430</v>
      </c>
      <c r="C133" t="s">
        <v>441</v>
      </c>
      <c r="D133" s="347">
        <v>0</v>
      </c>
      <c r="E133" s="347" t="s">
        <v>140</v>
      </c>
      <c r="F133" s="348" t="s">
        <v>140</v>
      </c>
      <c r="G133" s="349">
        <v>0</v>
      </c>
      <c r="H133" s="349" t="s">
        <v>140</v>
      </c>
      <c r="I133" s="350" t="s">
        <v>140</v>
      </c>
      <c r="J133" s="351">
        <v>139.51</v>
      </c>
      <c r="K133" s="351" t="s">
        <v>140</v>
      </c>
      <c r="L133" s="352" t="s">
        <v>140</v>
      </c>
      <c r="M133" s="353">
        <v>21.281000000000002</v>
      </c>
      <c r="N133" s="353" t="s">
        <v>140</v>
      </c>
      <c r="O133" s="354" t="s">
        <v>140</v>
      </c>
      <c r="P133" s="12" t="s">
        <v>489</v>
      </c>
    </row>
    <row r="134" spans="1:16" x14ac:dyDescent="0.35">
      <c r="A134" t="s">
        <v>53</v>
      </c>
      <c r="B134" t="s">
        <v>492</v>
      </c>
      <c r="C134" t="s">
        <v>485</v>
      </c>
      <c r="D134" s="338">
        <v>0</v>
      </c>
      <c r="E134" s="338">
        <v>0</v>
      </c>
      <c r="F134" s="339" t="s">
        <v>140</v>
      </c>
      <c r="G134" s="340">
        <v>0</v>
      </c>
      <c r="H134" s="340">
        <v>0</v>
      </c>
      <c r="I134" s="341" t="s">
        <v>140</v>
      </c>
      <c r="J134" s="342">
        <v>47.43</v>
      </c>
      <c r="K134" s="342">
        <v>47.43</v>
      </c>
      <c r="L134" s="343">
        <v>0</v>
      </c>
      <c r="M134" s="344">
        <v>7.2355400000000003</v>
      </c>
      <c r="N134" s="344">
        <v>7.2355400000000003</v>
      </c>
      <c r="O134" s="345">
        <v>0</v>
      </c>
      <c r="P134" s="12" t="s">
        <v>140</v>
      </c>
    </row>
    <row r="135" spans="1:16" x14ac:dyDescent="0.35">
      <c r="A135" t="s">
        <v>53</v>
      </c>
      <c r="B135" t="s">
        <v>431</v>
      </c>
      <c r="C135" t="s">
        <v>441</v>
      </c>
      <c r="D135" s="347">
        <v>0</v>
      </c>
      <c r="E135" s="347" t="s">
        <v>140</v>
      </c>
      <c r="F135" s="348" t="s">
        <v>140</v>
      </c>
      <c r="G135" s="349">
        <v>0</v>
      </c>
      <c r="H135" s="349" t="s">
        <v>140</v>
      </c>
      <c r="I135" s="350" t="s">
        <v>140</v>
      </c>
      <c r="J135" s="351">
        <v>8055.34</v>
      </c>
      <c r="K135" s="351" t="s">
        <v>140</v>
      </c>
      <c r="L135" s="352" t="s">
        <v>140</v>
      </c>
      <c r="M135" s="353">
        <v>0.98499999999999999</v>
      </c>
      <c r="N135" s="353" t="s">
        <v>140</v>
      </c>
      <c r="O135" s="354" t="s">
        <v>140</v>
      </c>
      <c r="P135" s="12" t="s">
        <v>489</v>
      </c>
    </row>
    <row r="136" spans="1:16" x14ac:dyDescent="0.35">
      <c r="A136" t="s">
        <v>53</v>
      </c>
      <c r="B136" t="s">
        <v>493</v>
      </c>
      <c r="C136" t="s">
        <v>485</v>
      </c>
      <c r="D136" s="338">
        <v>0</v>
      </c>
      <c r="E136" s="338">
        <v>0</v>
      </c>
      <c r="F136" s="339" t="s">
        <v>140</v>
      </c>
      <c r="G136" s="340">
        <v>0</v>
      </c>
      <c r="H136" s="340">
        <v>0</v>
      </c>
      <c r="I136" s="341" t="s">
        <v>140</v>
      </c>
      <c r="J136" s="342">
        <v>805.53</v>
      </c>
      <c r="K136" s="342">
        <v>805.53</v>
      </c>
      <c r="L136" s="343">
        <v>0</v>
      </c>
      <c r="M136" s="344">
        <v>9.8500000000000004E-2</v>
      </c>
      <c r="N136" s="344">
        <v>9.8500000000000004E-2</v>
      </c>
      <c r="O136" s="345">
        <v>0</v>
      </c>
      <c r="P136" s="12" t="s">
        <v>140</v>
      </c>
    </row>
    <row r="137" spans="1:16" x14ac:dyDescent="0.35">
      <c r="A137" t="s">
        <v>53</v>
      </c>
      <c r="B137" t="s">
        <v>432</v>
      </c>
      <c r="C137" t="s">
        <v>441</v>
      </c>
      <c r="D137" s="347">
        <v>0</v>
      </c>
      <c r="E137" s="347" t="s">
        <v>140</v>
      </c>
      <c r="F137" s="348" t="s">
        <v>140</v>
      </c>
      <c r="G137" s="349">
        <v>0</v>
      </c>
      <c r="H137" s="349" t="s">
        <v>140</v>
      </c>
      <c r="I137" s="350" t="s">
        <v>140</v>
      </c>
      <c r="J137" s="351">
        <v>1814.63</v>
      </c>
      <c r="K137" s="351" t="s">
        <v>140</v>
      </c>
      <c r="L137" s="352" t="s">
        <v>140</v>
      </c>
      <c r="M137" s="353">
        <v>21.281000000000002</v>
      </c>
      <c r="N137" s="353" t="s">
        <v>140</v>
      </c>
      <c r="O137" s="354" t="s">
        <v>140</v>
      </c>
      <c r="P137" s="12" t="s">
        <v>489</v>
      </c>
    </row>
    <row r="138" spans="1:16" x14ac:dyDescent="0.35">
      <c r="A138" t="s">
        <v>53</v>
      </c>
      <c r="B138" t="s">
        <v>494</v>
      </c>
      <c r="C138" t="s">
        <v>485</v>
      </c>
      <c r="D138" s="338">
        <v>0</v>
      </c>
      <c r="E138" s="338">
        <v>0</v>
      </c>
      <c r="F138" s="339" t="s">
        <v>140</v>
      </c>
      <c r="G138" s="340">
        <v>0</v>
      </c>
      <c r="H138" s="340">
        <v>0</v>
      </c>
      <c r="I138" s="341" t="s">
        <v>140</v>
      </c>
      <c r="J138" s="342">
        <v>2359.02</v>
      </c>
      <c r="K138" s="342">
        <v>2359.02</v>
      </c>
      <c r="L138" s="343">
        <v>0</v>
      </c>
      <c r="M138" s="344">
        <v>27.665300000000002</v>
      </c>
      <c r="N138" s="344">
        <v>27.665300000000002</v>
      </c>
      <c r="O138" s="345">
        <v>0</v>
      </c>
      <c r="P138" s="12" t="s">
        <v>140</v>
      </c>
    </row>
    <row r="139" spans="1:16" x14ac:dyDescent="0.35">
      <c r="A139" t="s">
        <v>53</v>
      </c>
      <c r="B139" t="s">
        <v>433</v>
      </c>
      <c r="C139" t="s">
        <v>441</v>
      </c>
      <c r="D139" s="347">
        <v>0</v>
      </c>
      <c r="E139" s="347" t="s">
        <v>140</v>
      </c>
      <c r="F139" s="348" t="s">
        <v>140</v>
      </c>
      <c r="G139" s="349">
        <v>0</v>
      </c>
      <c r="H139" s="349" t="s">
        <v>140</v>
      </c>
      <c r="I139" s="350" t="s">
        <v>140</v>
      </c>
      <c r="J139" s="351">
        <v>2368.7800000000002</v>
      </c>
      <c r="K139" s="351" t="s">
        <v>140</v>
      </c>
      <c r="L139" s="352" t="s">
        <v>140</v>
      </c>
      <c r="M139" s="353">
        <v>21.281000000000002</v>
      </c>
      <c r="N139" s="353" t="s">
        <v>140</v>
      </c>
      <c r="O139" s="354" t="s">
        <v>140</v>
      </c>
      <c r="P139" s="12" t="s">
        <v>489</v>
      </c>
    </row>
    <row r="140" spans="1:16" x14ac:dyDescent="0.35">
      <c r="A140" t="s">
        <v>53</v>
      </c>
      <c r="B140" t="s">
        <v>495</v>
      </c>
      <c r="C140" t="s">
        <v>485</v>
      </c>
      <c r="D140" s="338">
        <v>0</v>
      </c>
      <c r="E140" s="338">
        <v>0</v>
      </c>
      <c r="F140" s="339" t="s">
        <v>140</v>
      </c>
      <c r="G140" s="340">
        <v>0</v>
      </c>
      <c r="H140" s="340">
        <v>0</v>
      </c>
      <c r="I140" s="341" t="s">
        <v>140</v>
      </c>
      <c r="J140" s="342">
        <v>236.88</v>
      </c>
      <c r="K140" s="342">
        <v>236.88</v>
      </c>
      <c r="L140" s="343">
        <v>0</v>
      </c>
      <c r="M140" s="344">
        <v>2.1281000000000003</v>
      </c>
      <c r="N140" s="344">
        <v>2.1281000000000003</v>
      </c>
      <c r="O140" s="345">
        <v>0</v>
      </c>
      <c r="P140" s="12" t="s">
        <v>140</v>
      </c>
    </row>
    <row r="141" spans="1:16" x14ac:dyDescent="0.35">
      <c r="A141" t="s">
        <v>53</v>
      </c>
      <c r="B141" t="s">
        <v>434</v>
      </c>
      <c r="C141" t="s">
        <v>441</v>
      </c>
      <c r="D141" s="347">
        <v>0</v>
      </c>
      <c r="E141" s="347" t="s">
        <v>140</v>
      </c>
      <c r="F141" s="348" t="s">
        <v>140</v>
      </c>
      <c r="G141" s="349">
        <v>0</v>
      </c>
      <c r="H141" s="349" t="s">
        <v>140</v>
      </c>
      <c r="I141" s="350" t="s">
        <v>140</v>
      </c>
      <c r="J141" s="351">
        <v>80695.509999999995</v>
      </c>
      <c r="K141" s="351" t="s">
        <v>140</v>
      </c>
      <c r="L141" s="352" t="s">
        <v>140</v>
      </c>
      <c r="M141" s="353">
        <v>21.281000000000002</v>
      </c>
      <c r="N141" s="353" t="s">
        <v>140</v>
      </c>
      <c r="O141" s="354" t="s">
        <v>140</v>
      </c>
      <c r="P141" s="12" t="s">
        <v>489</v>
      </c>
    </row>
    <row r="142" spans="1:16" x14ac:dyDescent="0.35">
      <c r="A142" t="s">
        <v>53</v>
      </c>
      <c r="B142" t="s">
        <v>435</v>
      </c>
      <c r="C142" t="s">
        <v>441</v>
      </c>
      <c r="D142" s="338">
        <v>0</v>
      </c>
      <c r="E142" s="338" t="s">
        <v>140</v>
      </c>
      <c r="F142" s="339" t="s">
        <v>140</v>
      </c>
      <c r="G142" s="340">
        <v>0</v>
      </c>
      <c r="H142" s="340" t="s">
        <v>140</v>
      </c>
      <c r="I142" s="341" t="s">
        <v>140</v>
      </c>
      <c r="J142" s="342">
        <v>3889.46</v>
      </c>
      <c r="K142" s="342" t="s">
        <v>140</v>
      </c>
      <c r="L142" s="343" t="s">
        <v>140</v>
      </c>
      <c r="M142" s="344">
        <v>21.281000000000002</v>
      </c>
      <c r="N142" s="344" t="s">
        <v>140</v>
      </c>
      <c r="O142" s="345" t="s">
        <v>140</v>
      </c>
      <c r="P142" s="12" t="s">
        <v>489</v>
      </c>
    </row>
    <row r="143" spans="1:16" x14ac:dyDescent="0.35">
      <c r="A143" t="s">
        <v>53</v>
      </c>
      <c r="B143" t="s">
        <v>436</v>
      </c>
      <c r="C143" t="s">
        <v>441</v>
      </c>
      <c r="D143" s="347">
        <v>0</v>
      </c>
      <c r="E143" s="347" t="s">
        <v>140</v>
      </c>
      <c r="F143" s="348" t="s">
        <v>140</v>
      </c>
      <c r="G143" s="349">
        <v>0</v>
      </c>
      <c r="H143" s="349" t="s">
        <v>140</v>
      </c>
      <c r="I143" s="350" t="s">
        <v>140</v>
      </c>
      <c r="J143" s="351">
        <v>0</v>
      </c>
      <c r="K143" s="351" t="s">
        <v>140</v>
      </c>
      <c r="L143" s="352" t="s">
        <v>140</v>
      </c>
      <c r="M143" s="353">
        <v>21.281000000000002</v>
      </c>
      <c r="N143" s="353" t="s">
        <v>140</v>
      </c>
      <c r="O143" s="354" t="s">
        <v>140</v>
      </c>
      <c r="P143" s="12" t="s">
        <v>489</v>
      </c>
    </row>
    <row r="144" spans="1:16" x14ac:dyDescent="0.35">
      <c r="A144" t="s">
        <v>53</v>
      </c>
      <c r="B144" t="s">
        <v>496</v>
      </c>
      <c r="C144" t="s">
        <v>485</v>
      </c>
      <c r="D144" s="338">
        <v>0</v>
      </c>
      <c r="E144" s="338">
        <v>0</v>
      </c>
      <c r="F144" s="339" t="s">
        <v>140</v>
      </c>
      <c r="G144" s="340">
        <v>0</v>
      </c>
      <c r="H144" s="340">
        <v>0</v>
      </c>
      <c r="I144" s="341" t="s">
        <v>140</v>
      </c>
      <c r="J144" s="342">
        <v>0</v>
      </c>
      <c r="K144" s="342">
        <v>0</v>
      </c>
      <c r="L144" s="343" t="s">
        <v>140</v>
      </c>
      <c r="M144" s="344">
        <v>4.2562000000000006</v>
      </c>
      <c r="N144" s="344">
        <v>4.2562000000000006</v>
      </c>
      <c r="O144" s="345">
        <v>0</v>
      </c>
      <c r="P144" s="12" t="s">
        <v>140</v>
      </c>
    </row>
    <row r="145" spans="1:16" x14ac:dyDescent="0.35">
      <c r="A145" t="s">
        <v>53</v>
      </c>
      <c r="B145" t="s">
        <v>437</v>
      </c>
      <c r="C145" t="s">
        <v>441</v>
      </c>
      <c r="D145" s="347">
        <v>0</v>
      </c>
      <c r="E145" s="347" t="s">
        <v>140</v>
      </c>
      <c r="F145" s="348" t="s">
        <v>140</v>
      </c>
      <c r="G145" s="349">
        <v>0</v>
      </c>
      <c r="H145" s="349" t="s">
        <v>140</v>
      </c>
      <c r="I145" s="350" t="s">
        <v>140</v>
      </c>
      <c r="J145" s="351">
        <v>0</v>
      </c>
      <c r="K145" s="351" t="s">
        <v>140</v>
      </c>
      <c r="L145" s="352" t="s">
        <v>140</v>
      </c>
      <c r="M145" s="353">
        <v>21.281000000000002</v>
      </c>
      <c r="N145" s="353" t="s">
        <v>140</v>
      </c>
      <c r="O145" s="354" t="s">
        <v>140</v>
      </c>
      <c r="P145" s="12" t="s">
        <v>489</v>
      </c>
    </row>
    <row r="146" spans="1:16" x14ac:dyDescent="0.35">
      <c r="A146" t="s">
        <v>53</v>
      </c>
      <c r="B146" t="s">
        <v>497</v>
      </c>
      <c r="C146" t="s">
        <v>485</v>
      </c>
      <c r="D146" s="338">
        <v>0</v>
      </c>
      <c r="E146" s="338">
        <v>0</v>
      </c>
      <c r="F146" s="339" t="s">
        <v>140</v>
      </c>
      <c r="G146" s="340">
        <v>0</v>
      </c>
      <c r="H146" s="340">
        <v>0</v>
      </c>
      <c r="I146" s="341" t="s">
        <v>140</v>
      </c>
      <c r="J146" s="342">
        <v>0</v>
      </c>
      <c r="K146" s="342">
        <v>0</v>
      </c>
      <c r="L146" s="343" t="s">
        <v>140</v>
      </c>
      <c r="M146" s="344">
        <v>0.63843000000000005</v>
      </c>
      <c r="N146" s="344">
        <v>0.63843000000000005</v>
      </c>
      <c r="O146" s="345">
        <v>0</v>
      </c>
      <c r="P146" s="12" t="s">
        <v>140</v>
      </c>
    </row>
    <row r="147" spans="1:16" x14ac:dyDescent="0.35">
      <c r="A147" t="s">
        <v>53</v>
      </c>
      <c r="B147" t="s">
        <v>438</v>
      </c>
      <c r="C147" t="s">
        <v>441</v>
      </c>
      <c r="D147" s="347">
        <v>0</v>
      </c>
      <c r="E147" s="347" t="s">
        <v>140</v>
      </c>
      <c r="F147" s="348" t="s">
        <v>140</v>
      </c>
      <c r="G147" s="349">
        <v>0</v>
      </c>
      <c r="H147" s="349" t="s">
        <v>140</v>
      </c>
      <c r="I147" s="350" t="s">
        <v>140</v>
      </c>
      <c r="J147" s="351">
        <v>0</v>
      </c>
      <c r="K147" s="351" t="s">
        <v>140</v>
      </c>
      <c r="L147" s="352" t="s">
        <v>140</v>
      </c>
      <c r="M147" s="353">
        <v>21.281000000000002</v>
      </c>
      <c r="N147" s="353" t="s">
        <v>140</v>
      </c>
      <c r="O147" s="354" t="s">
        <v>140</v>
      </c>
      <c r="P147" s="12" t="s">
        <v>489</v>
      </c>
    </row>
    <row r="148" spans="1:16" x14ac:dyDescent="0.35">
      <c r="A148" t="s">
        <v>53</v>
      </c>
      <c r="B148" t="s">
        <v>498</v>
      </c>
      <c r="C148" t="s">
        <v>485</v>
      </c>
      <c r="D148" s="338">
        <v>0</v>
      </c>
      <c r="E148" s="338">
        <v>0</v>
      </c>
      <c r="F148" s="339" t="s">
        <v>140</v>
      </c>
      <c r="G148" s="340">
        <v>0</v>
      </c>
      <c r="H148" s="340">
        <v>0</v>
      </c>
      <c r="I148" s="341" t="s">
        <v>140</v>
      </c>
      <c r="J148" s="342">
        <v>0</v>
      </c>
      <c r="K148" s="342">
        <v>0</v>
      </c>
      <c r="L148" s="343" t="s">
        <v>140</v>
      </c>
      <c r="M148" s="344">
        <v>2.1281000000000003</v>
      </c>
      <c r="N148" s="344">
        <v>2.1281000000000003</v>
      </c>
      <c r="O148" s="345">
        <v>0</v>
      </c>
      <c r="P148" s="12" t="s">
        <v>140</v>
      </c>
    </row>
    <row r="149" spans="1:16" x14ac:dyDescent="0.35">
      <c r="A149" t="s">
        <v>53</v>
      </c>
      <c r="B149" t="s">
        <v>439</v>
      </c>
      <c r="C149" t="s">
        <v>441</v>
      </c>
      <c r="D149" s="347">
        <v>0</v>
      </c>
      <c r="E149" s="347" t="s">
        <v>140</v>
      </c>
      <c r="F149" s="348" t="s">
        <v>140</v>
      </c>
      <c r="G149" s="349">
        <v>0</v>
      </c>
      <c r="H149" s="349" t="s">
        <v>140</v>
      </c>
      <c r="I149" s="350" t="s">
        <v>140</v>
      </c>
      <c r="J149" s="351">
        <v>0</v>
      </c>
      <c r="K149" s="351" t="s">
        <v>140</v>
      </c>
      <c r="L149" s="352" t="s">
        <v>140</v>
      </c>
      <c r="M149" s="353">
        <v>8.911999999999999</v>
      </c>
      <c r="N149" s="353" t="s">
        <v>140</v>
      </c>
      <c r="O149" s="354" t="s">
        <v>140</v>
      </c>
      <c r="P149" s="12" t="s">
        <v>489</v>
      </c>
    </row>
    <row r="150" spans="1:16" x14ac:dyDescent="0.35">
      <c r="A150" t="s">
        <v>53</v>
      </c>
      <c r="B150" t="s">
        <v>499</v>
      </c>
      <c r="C150" t="s">
        <v>485</v>
      </c>
      <c r="D150" s="338">
        <v>0</v>
      </c>
      <c r="E150" s="338">
        <v>0</v>
      </c>
      <c r="F150" s="339" t="s">
        <v>140</v>
      </c>
      <c r="G150" s="340">
        <v>0</v>
      </c>
      <c r="H150" s="340">
        <v>0</v>
      </c>
      <c r="I150" s="341" t="s">
        <v>140</v>
      </c>
      <c r="J150" s="342">
        <v>0</v>
      </c>
      <c r="K150" s="342">
        <v>0</v>
      </c>
      <c r="L150" s="343" t="s">
        <v>140</v>
      </c>
      <c r="M150" s="344">
        <v>2.2279999999999998</v>
      </c>
      <c r="N150" s="344">
        <v>2.2279999999999998</v>
      </c>
      <c r="O150" s="345">
        <v>0</v>
      </c>
      <c r="P150" s="12" t="s">
        <v>140</v>
      </c>
    </row>
    <row r="151" spans="1:16" x14ac:dyDescent="0.35">
      <c r="A151" t="s">
        <v>53</v>
      </c>
      <c r="B151" t="s">
        <v>440</v>
      </c>
      <c r="C151" t="s">
        <v>441</v>
      </c>
      <c r="D151" s="347">
        <v>0</v>
      </c>
      <c r="E151" s="347" t="s">
        <v>140</v>
      </c>
      <c r="F151" s="348" t="s">
        <v>140</v>
      </c>
      <c r="G151" s="349">
        <v>0</v>
      </c>
      <c r="H151" s="349" t="s">
        <v>140</v>
      </c>
      <c r="I151" s="350" t="s">
        <v>140</v>
      </c>
      <c r="J151" s="351">
        <v>0</v>
      </c>
      <c r="K151" s="351" t="s">
        <v>140</v>
      </c>
      <c r="L151" s="352" t="s">
        <v>140</v>
      </c>
      <c r="M151" s="353">
        <v>21.281000000000002</v>
      </c>
      <c r="N151" s="353" t="s">
        <v>140</v>
      </c>
      <c r="O151" s="354" t="s">
        <v>140</v>
      </c>
      <c r="P151" s="12" t="s">
        <v>489</v>
      </c>
    </row>
    <row r="152" spans="1:16" x14ac:dyDescent="0.35">
      <c r="A152" t="s">
        <v>53</v>
      </c>
      <c r="B152" t="s">
        <v>500</v>
      </c>
      <c r="C152" t="s">
        <v>485</v>
      </c>
      <c r="D152" s="338">
        <v>0</v>
      </c>
      <c r="E152" s="338">
        <v>0</v>
      </c>
      <c r="F152" s="339" t="s">
        <v>140</v>
      </c>
      <c r="G152" s="340">
        <v>0</v>
      </c>
      <c r="H152" s="340">
        <v>0</v>
      </c>
      <c r="I152" s="341" t="s">
        <v>140</v>
      </c>
      <c r="J152" s="342">
        <v>0</v>
      </c>
      <c r="K152" s="342">
        <v>0</v>
      </c>
      <c r="L152" s="343" t="s">
        <v>140</v>
      </c>
      <c r="M152" s="344">
        <v>8.5124000000000013</v>
      </c>
      <c r="N152" s="344">
        <v>8.5124000000000013</v>
      </c>
      <c r="O152" s="345">
        <v>0</v>
      </c>
      <c r="P152" s="12" t="s">
        <v>140</v>
      </c>
    </row>
  </sheetData>
  <sheetProtection algorithmName="SHA-512" hashValue="VeSYZ+IDf2jV+ap6LYQaJiRcUkVGWxX+/Cb5wEfLemYo8bYizZb+eYEFinIjej5TK5UF4tGXOOhtNtSErnMd+w==" saltValue="FgvCXyqcId7kP+95V+O4mw==" spinCount="100000" sheet="1" objects="1" scenarios="1"/>
  <mergeCells count="12">
    <mergeCell ref="G9:I9"/>
    <mergeCell ref="J9:L9"/>
    <mergeCell ref="M9:O9"/>
    <mergeCell ref="D131:F131"/>
    <mergeCell ref="G131:I131"/>
    <mergeCell ref="J131:L131"/>
    <mergeCell ref="M131:O131"/>
    <mergeCell ref="B3:D3"/>
    <mergeCell ref="B5:D5"/>
    <mergeCell ref="B4:D4"/>
    <mergeCell ref="B6:D6"/>
    <mergeCell ref="D9:F9"/>
  </mergeCells>
  <pageMargins left="0.7" right="0.7" top="0.78740157499999996" bottom="0.78740157499999996"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f30deb-a403-47b6-8821-8f8c91cf3f76">
      <Terms xmlns="http://schemas.microsoft.com/office/infopath/2007/PartnerControls"/>
    </lcf76f155ced4ddcb4097134ff3c332f>
    <TaxCatchAll xmlns="59548bc3-7d0d-4161-89bf-d79247fa0c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D5EE8BEA53DC742911E9FD69AE72BC6" ma:contentTypeVersion="9" ma:contentTypeDescription="Ein neues Dokument erstellen." ma:contentTypeScope="" ma:versionID="4734ebd06775c409214ac9f5b5c42cbc">
  <xsd:schema xmlns:xsd="http://www.w3.org/2001/XMLSchema" xmlns:xs="http://www.w3.org/2001/XMLSchema" xmlns:p="http://schemas.microsoft.com/office/2006/metadata/properties" xmlns:ns2="32f30deb-a403-47b6-8821-8f8c91cf3f76" xmlns:ns3="59548bc3-7d0d-4161-89bf-d79247fa0c7d" targetNamespace="http://schemas.microsoft.com/office/2006/metadata/properties" ma:root="true" ma:fieldsID="5a98de1a417511f8ac4024d959a99fcc" ns2:_="" ns3:_="">
    <xsd:import namespace="32f30deb-a403-47b6-8821-8f8c91cf3f76"/>
    <xsd:import namespace="59548bc3-7d0d-4161-89bf-d79247fa0c7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30deb-a403-47b6-8821-8f8c91cf3f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3ad06623-7146-4c0f-9564-187aa39e4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548bc3-7d0d-4161-89bf-d79247fa0c7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a02449b-a876-48ee-a58a-72f216c6b50a}" ma:internalName="TaxCatchAll" ma:showField="CatchAllData" ma:web="59548bc3-7d0d-4161-89bf-d79247fa0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E9C56D-C852-42B6-990A-2436B8AA97B6}">
  <ds:schemaRefs>
    <ds:schemaRef ds:uri="59548bc3-7d0d-4161-89bf-d79247fa0c7d"/>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32f30deb-a403-47b6-8821-8f8c91cf3f76"/>
  </ds:schemaRefs>
</ds:datastoreItem>
</file>

<file path=customXml/itemProps2.xml><?xml version="1.0" encoding="utf-8"?>
<ds:datastoreItem xmlns:ds="http://schemas.openxmlformats.org/officeDocument/2006/customXml" ds:itemID="{132AB611-9D10-4883-B2DA-BAB9E437A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30deb-a403-47b6-8821-8f8c91cf3f76"/>
    <ds:schemaRef ds:uri="59548bc3-7d0d-4161-89bf-d79247fa0c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B6E4EE-2785-4E55-9F4F-F4CE655498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20</vt:i4>
      </vt:variant>
    </vt:vector>
  </HeadingPairs>
  <TitlesOfParts>
    <vt:vector size="30" baseType="lpstr">
      <vt:lpstr>Anleitung</vt:lpstr>
      <vt:lpstr>Stammdaten</vt:lpstr>
      <vt:lpstr>Gliederung der Bilanz</vt:lpstr>
      <vt:lpstr>Daten KlimaBilanzKultur</vt:lpstr>
      <vt:lpstr>Daten KlimaBilanzKultur+</vt:lpstr>
      <vt:lpstr>Datenerfassung Beyond Carbon</vt:lpstr>
      <vt:lpstr>Ergebnisse</vt:lpstr>
      <vt:lpstr>Emissionsfaktoren</vt:lpstr>
      <vt:lpstr>EF_Änderungen</vt:lpstr>
      <vt:lpstr>Dropdowns</vt:lpstr>
      <vt:lpstr>Bez_Anreise_der_Besuchenden</vt:lpstr>
      <vt:lpstr>Bez_Druck_und_Werbematerialien</vt:lpstr>
      <vt:lpstr>Bez_Externe</vt:lpstr>
      <vt:lpstr>Bez_Fuhrpark</vt:lpstr>
      <vt:lpstr>Bez_Geschäftsreisen</vt:lpstr>
      <vt:lpstr>Bez_IT</vt:lpstr>
      <vt:lpstr>Bez_Kühl_und_Kältemittel</vt:lpstr>
      <vt:lpstr>Bez_Medien</vt:lpstr>
      <vt:lpstr>Bez_Papier</vt:lpstr>
      <vt:lpstr>Bez_Pendeln</vt:lpstr>
      <vt:lpstr>Bez_Relevante_Stoffströme</vt:lpstr>
      <vt:lpstr>Bez_Strom</vt:lpstr>
      <vt:lpstr>Bez_Verpackung</vt:lpstr>
      <vt:lpstr>Bez_Warentransporte</vt:lpstr>
      <vt:lpstr>Bez_Wärme</vt:lpstr>
      <vt:lpstr>Bez_Wasser</vt:lpstr>
      <vt:lpstr>Ergebnisse!DD_Thema</vt:lpstr>
      <vt:lpstr>DD_Thema</vt:lpstr>
      <vt:lpstr>DD_Thema_2</vt:lpstr>
      <vt:lpstr>'Datenerfassung Beyond Carbon'!Thema_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CO2-Kulturrechner v1.0 2023</dc:title>
  <dc:creator>Georg Smolka</dc:creator>
  <cp:lastModifiedBy>Georg Smolka</cp:lastModifiedBy>
  <dcterms:created xsi:type="dcterms:W3CDTF">2023-05-03T08:10:34Z</dcterms:created>
  <dcterms:modified xsi:type="dcterms:W3CDTF">2024-02-07T12:37:12Z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0x0101002D5EE8BEA53DC742911E9FD69AE72BC6</vt:lpwstr>
  </property>
  <property fmtid="{D5CDD505-2E9C-101B-9397-08002B2CF9AE}" pid="3" name="MediaServiceImageTags">
    <vt:lpwstr/>
  </property>
</Properties>
</file>